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Multi separation method\WDXRF analysis of concrete powder\"/>
    </mc:Choice>
  </mc:AlternateContent>
  <bookViews>
    <workbookView xWindow="5085" yWindow="2235" windowWidth="28035" windowHeight="17445"/>
  </bookViews>
  <sheets>
    <sheet name="Overview" sheetId="8" r:id="rId1"/>
    <sheet name="1" sheetId="1" r:id="rId2"/>
    <sheet name="2" sheetId="2" r:id="rId3"/>
    <sheet name="3" sheetId="3" r:id="rId4"/>
    <sheet name="4" sheetId="4" r:id="rId5"/>
    <sheet name="5" sheetId="5" r:id="rId6"/>
    <sheet name="6" sheetId="6" r:id="rId7"/>
    <sheet name="7" sheetId="7" r:id="rId8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36" i="8" l="1"/>
  <c r="N36" i="8"/>
  <c r="S36" i="8"/>
  <c r="V36" i="8"/>
  <c r="AH36" i="8"/>
  <c r="AG36" i="8"/>
  <c r="D36" i="8"/>
  <c r="E36" i="8"/>
  <c r="F36" i="8"/>
  <c r="G36" i="8"/>
  <c r="H36" i="8"/>
  <c r="I36" i="8"/>
  <c r="J36" i="8"/>
  <c r="K36" i="8"/>
  <c r="L36" i="8"/>
  <c r="O36" i="8"/>
  <c r="P36" i="8"/>
  <c r="R36" i="8"/>
  <c r="T36" i="8"/>
  <c r="Y36" i="8"/>
  <c r="Z36" i="8"/>
  <c r="AA36" i="8"/>
  <c r="AB36" i="8"/>
  <c r="AC36" i="8"/>
  <c r="C36" i="8"/>
  <c r="D34" i="8"/>
  <c r="E34" i="8"/>
  <c r="F34" i="8"/>
  <c r="G34" i="8"/>
  <c r="H34" i="8"/>
  <c r="I34" i="8"/>
  <c r="J34" i="8"/>
  <c r="K34" i="8"/>
  <c r="L34" i="8"/>
  <c r="O34" i="8"/>
  <c r="P34" i="8"/>
  <c r="R34" i="8"/>
  <c r="T34" i="8"/>
  <c r="U34" i="8"/>
  <c r="Y34" i="8"/>
  <c r="Z34" i="8"/>
  <c r="AA34" i="8"/>
  <c r="AB34" i="8"/>
  <c r="AC34" i="8"/>
  <c r="C34" i="8"/>
  <c r="D32" i="8"/>
  <c r="E32" i="8"/>
  <c r="F32" i="8"/>
  <c r="G32" i="8"/>
  <c r="H32" i="8"/>
  <c r="I32" i="8"/>
  <c r="J32" i="8"/>
  <c r="K32" i="8"/>
  <c r="L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I32" i="8"/>
  <c r="AJ32" i="8"/>
  <c r="AK32" i="8"/>
  <c r="AL32" i="8"/>
  <c r="AM32" i="8"/>
  <c r="D31" i="8"/>
  <c r="E31" i="8"/>
  <c r="F31" i="8"/>
  <c r="G31" i="8"/>
  <c r="H31" i="8"/>
  <c r="I31" i="8"/>
  <c r="J31" i="8"/>
  <c r="K31" i="8"/>
  <c r="L31" i="8"/>
  <c r="M31" i="8"/>
  <c r="N31" i="8"/>
  <c r="O31" i="8"/>
  <c r="P31" i="8"/>
  <c r="Q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I31" i="8"/>
  <c r="AJ31" i="8"/>
  <c r="AK31" i="8"/>
  <c r="AL31" i="8"/>
  <c r="AM31" i="8"/>
  <c r="C32" i="8"/>
  <c r="C31" i="8"/>
  <c r="D25" i="8"/>
  <c r="E25" i="8"/>
  <c r="F25" i="8"/>
  <c r="G25" i="8"/>
  <c r="H25" i="8"/>
  <c r="I25" i="8"/>
  <c r="J25" i="8"/>
  <c r="K25" i="8"/>
  <c r="L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C25" i="8"/>
  <c r="D21" i="8"/>
  <c r="E21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C21" i="8"/>
  <c r="AN11" i="8"/>
  <c r="AG27" i="8" l="1"/>
  <c r="AD27" i="8"/>
  <c r="AC27" i="8"/>
  <c r="AB27" i="8"/>
  <c r="AA27" i="8"/>
  <c r="Z27" i="8"/>
  <c r="Y27" i="8"/>
  <c r="U27" i="8"/>
  <c r="T27" i="8"/>
  <c r="S27" i="8"/>
  <c r="R27" i="8"/>
  <c r="Q27" i="8"/>
  <c r="N27" i="8"/>
  <c r="M27" i="8"/>
  <c r="I27" i="8"/>
  <c r="H27" i="8"/>
  <c r="B27" i="8"/>
  <c r="AL28" i="8"/>
  <c r="AK28" i="8"/>
  <c r="AJ28" i="8"/>
  <c r="AG28" i="8"/>
  <c r="AD28" i="8"/>
  <c r="AC28" i="8"/>
  <c r="AB28" i="8"/>
  <c r="AA28" i="8"/>
  <c r="Z28" i="8"/>
  <c r="Y28" i="8"/>
  <c r="W28" i="8"/>
  <c r="V28" i="8"/>
  <c r="U28" i="8"/>
  <c r="T28" i="8"/>
  <c r="S28" i="8"/>
  <c r="R28" i="8"/>
  <c r="Q28" i="8"/>
  <c r="N28" i="8"/>
  <c r="M28" i="8"/>
  <c r="I28" i="8"/>
  <c r="H28" i="8"/>
  <c r="B28" i="8"/>
</calcChain>
</file>

<file path=xl/sharedStrings.xml><?xml version="1.0" encoding="utf-8"?>
<sst xmlns="http://schemas.openxmlformats.org/spreadsheetml/2006/main" count="507" uniqueCount="66">
  <si>
    <t>Na2O</t>
  </si>
  <si>
    <t>MgO</t>
  </si>
  <si>
    <t>Al2O3</t>
  </si>
  <si>
    <t>SiO2</t>
  </si>
  <si>
    <t>P2O5</t>
  </si>
  <si>
    <t>SO3</t>
  </si>
  <si>
    <t>Cl</t>
  </si>
  <si>
    <t>K2O</t>
  </si>
  <si>
    <t>CaO</t>
  </si>
  <si>
    <t>TiO2</t>
  </si>
  <si>
    <t>Cr2O3</t>
  </si>
  <si>
    <t>MnO</t>
  </si>
  <si>
    <t>Fe2O3</t>
  </si>
  <si>
    <t>Co2O3</t>
  </si>
  <si>
    <t>NiO</t>
  </si>
  <si>
    <t>CuO</t>
  </si>
  <si>
    <t>ZnO</t>
  </si>
  <si>
    <t>Rb2O</t>
  </si>
  <si>
    <t>SrO</t>
  </si>
  <si>
    <t>ZrO2</t>
  </si>
  <si>
    <t>S-BLEND</t>
  </si>
  <si>
    <t>mass%</t>
  </si>
  <si>
    <t>mrg-1</t>
  </si>
  <si>
    <t>F-U_Solid_N_000</t>
  </si>
  <si>
    <t>F-U_Solid_N_001</t>
  </si>
  <si>
    <t>stm-1</t>
  </si>
  <si>
    <t>ThO2</t>
  </si>
  <si>
    <t>BaO</t>
  </si>
  <si>
    <t>Nb2O5</t>
  </si>
  <si>
    <t>Y2O3</t>
  </si>
  <si>
    <t>As2O3</t>
  </si>
  <si>
    <t>Ga2O3</t>
  </si>
  <si>
    <t>F-U_Solid_N_002</t>
  </si>
  <si>
    <t>WO3</t>
  </si>
  <si>
    <t>F-U_Solid_N_003</t>
  </si>
  <si>
    <t>F-U_Solid_N_004</t>
  </si>
  <si>
    <t>PbO</t>
  </si>
  <si>
    <t>CeO2</t>
  </si>
  <si>
    <t>F-U_Solid_N_005</t>
  </si>
  <si>
    <t>V2O5</t>
  </si>
  <si>
    <t>F-U_Solid_N_006</t>
  </si>
  <si>
    <t>Br</t>
  </si>
  <si>
    <t>CRM data</t>
  </si>
  <si>
    <t>standard</t>
  </si>
  <si>
    <t>U3O8</t>
  </si>
  <si>
    <t>Tl2O3</t>
  </si>
  <si>
    <t>SnO2</t>
  </si>
  <si>
    <t>Tb4O7</t>
  </si>
  <si>
    <t>MoO3</t>
  </si>
  <si>
    <t>SeO2</t>
  </si>
  <si>
    <t>F</t>
  </si>
  <si>
    <t>Certified reference</t>
  </si>
  <si>
    <t>identification</t>
  </si>
  <si>
    <t xml:space="preserve">samle </t>
  </si>
  <si>
    <t>Analysis was carried out using a Rigaku ZSX Primus II using a pre-calibrated EZ-scan semi quant program, covering elements F-U.</t>
  </si>
  <si>
    <t>21/41</t>
  </si>
  <si>
    <t>concrete</t>
  </si>
  <si>
    <t>MRG-1</t>
  </si>
  <si>
    <t>The sample was mixed with CEROX binder at a ratio of 4:1 then pressed to 10 ton in a 32mm die.</t>
  </si>
  <si>
    <t>STM-1</t>
  </si>
  <si>
    <t>MRG avg</t>
  </si>
  <si>
    <t>STM avg</t>
  </si>
  <si>
    <t>cf mrg</t>
  </si>
  <si>
    <t>cf stm</t>
  </si>
  <si>
    <t>cf avg</t>
  </si>
  <si>
    <t>concrete corrected for crm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</si>
</sst>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E+00"/>
    <numFmt numFmtId="166" formatCode="0.000"/>
    <numFmt numFmtId="167" formatCode="0.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  <xf numFmtId="0" fontId="1" fillId="0" borderId="0"/>
  </cellStyleXfs>
  <cellXfs count="40">
    <xf numFmtId="0" fontId="0" fillId="0" borderId="0" xfId="0"/>
    <xf numFmtId="0" fontId="18" fillId="0" borderId="0" xfId="42"/>
    <xf numFmtId="0" fontId="19" fillId="0" borderId="0" xfId="42" applyFont="1"/>
    <xf numFmtId="0" fontId="19" fillId="0" borderId="10" xfId="42" applyFont="1" applyBorder="1"/>
    <xf numFmtId="0" fontId="19" fillId="0" borderId="11" xfId="42" applyFont="1" applyBorder="1"/>
    <xf numFmtId="164" fontId="19" fillId="0" borderId="11" xfId="42" applyNumberFormat="1" applyFont="1" applyBorder="1"/>
    <xf numFmtId="165" fontId="19" fillId="0" borderId="11" xfId="42" applyNumberFormat="1" applyFont="1" applyBorder="1"/>
    <xf numFmtId="166" fontId="19" fillId="0" borderId="11" xfId="42" applyNumberFormat="1" applyFont="1" applyBorder="1"/>
    <xf numFmtId="0" fontId="19" fillId="0" borderId="11" xfId="42" quotePrefix="1" applyFont="1" applyBorder="1" applyAlignment="1">
      <alignment horizontal="right"/>
    </xf>
    <xf numFmtId="167" fontId="19" fillId="0" borderId="11" xfId="42" applyNumberFormat="1" applyFont="1" applyBorder="1"/>
    <xf numFmtId="0" fontId="19" fillId="0" borderId="13" xfId="42" applyFont="1" applyBorder="1"/>
    <xf numFmtId="166" fontId="19" fillId="0" borderId="0" xfId="42" applyNumberFormat="1" applyFont="1"/>
    <xf numFmtId="164" fontId="19" fillId="0" borderId="0" xfId="42" applyNumberFormat="1" applyFont="1"/>
    <xf numFmtId="164" fontId="19" fillId="0" borderId="0" xfId="43" applyNumberFormat="1" applyFont="1"/>
    <xf numFmtId="2" fontId="19" fillId="0" borderId="0" xfId="42" applyNumberFormat="1" applyFont="1"/>
    <xf numFmtId="0" fontId="18" fillId="0" borderId="13" xfId="42" applyBorder="1"/>
    <xf numFmtId="0" fontId="1" fillId="0" borderId="0" xfId="43"/>
    <xf numFmtId="0" fontId="16" fillId="0" borderId="13" xfId="43" applyFont="1" applyBorder="1"/>
    <xf numFmtId="0" fontId="1" fillId="0" borderId="10" xfId="43" applyBorder="1"/>
    <xf numFmtId="0" fontId="1" fillId="0" borderId="11" xfId="43" applyBorder="1"/>
    <xf numFmtId="0" fontId="18" fillId="0" borderId="11" xfId="42" applyBorder="1"/>
    <xf numFmtId="0" fontId="1" fillId="0" borderId="12" xfId="43" applyBorder="1"/>
    <xf numFmtId="0" fontId="1" fillId="0" borderId="14" xfId="43" applyBorder="1"/>
    <xf numFmtId="0" fontId="1" fillId="0" borderId="15" xfId="43" applyBorder="1"/>
    <xf numFmtId="0" fontId="18" fillId="0" borderId="15" xfId="42" applyBorder="1"/>
    <xf numFmtId="0" fontId="1" fillId="0" borderId="16" xfId="43" applyBorder="1"/>
    <xf numFmtId="0" fontId="19" fillId="0" borderId="14" xfId="42" applyFont="1" applyBorder="1"/>
    <xf numFmtId="0" fontId="18" fillId="0" borderId="10" xfId="42" applyBorder="1"/>
    <xf numFmtId="164" fontId="18" fillId="0" borderId="11" xfId="42" applyNumberFormat="1" applyBorder="1"/>
    <xf numFmtId="0" fontId="18" fillId="0" borderId="13" xfId="42" applyBorder="1" applyAlignment="1">
      <alignment horizontal="right"/>
    </xf>
    <xf numFmtId="0" fontId="18" fillId="0" borderId="14" xfId="42" applyBorder="1"/>
    <xf numFmtId="164" fontId="19" fillId="0" borderId="0" xfId="42" applyNumberFormat="1" applyFont="1" applyBorder="1"/>
    <xf numFmtId="0" fontId="0" fillId="0" borderId="15" xfId="0" applyBorder="1"/>
    <xf numFmtId="0" fontId="0" fillId="0" borderId="0" xfId="0" applyBorder="1"/>
    <xf numFmtId="0" fontId="1" fillId="0" borderId="0" xfId="43" applyBorder="1"/>
    <xf numFmtId="0" fontId="18" fillId="0" borderId="0" xfId="42" applyBorder="1"/>
    <xf numFmtId="164" fontId="18" fillId="0" borderId="0" xfId="42" applyNumberFormat="1" applyBorder="1"/>
    <xf numFmtId="0" fontId="0" fillId="0" borderId="11" xfId="0" applyBorder="1"/>
    <xf numFmtId="0" fontId="18" fillId="0" borderId="0" xfId="0" applyFont="1"/>
    <xf numFmtId="2" fontId="19" fillId="0" borderId="0" xfId="43" applyNumberFormat="1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rmal 2 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"/>
  <sheetViews>
    <sheetView tabSelected="1" workbookViewId="0">
      <selection activeCell="F28" sqref="F28"/>
    </sheetView>
  </sheetViews>
  <sheetFormatPr defaultColWidth="8.875" defaultRowHeight="12.75" x14ac:dyDescent="0.2"/>
  <cols>
    <col min="1" max="1" width="26.75" style="1" customWidth="1"/>
    <col min="2" max="38" width="10.625" style="1" customWidth="1"/>
    <col min="39" max="16384" width="8.875" style="1"/>
  </cols>
  <sheetData>
    <row r="1" spans="1:40" x14ac:dyDescent="0.2">
      <c r="A1" s="2" t="s">
        <v>55</v>
      </c>
    </row>
    <row r="3" spans="1:40" x14ac:dyDescent="0.2">
      <c r="A3" s="1" t="s">
        <v>54</v>
      </c>
    </row>
    <row r="5" spans="1:40" ht="15.75" x14ac:dyDescent="0.25">
      <c r="A5" s="38" t="s">
        <v>58</v>
      </c>
      <c r="B5"/>
      <c r="C5"/>
      <c r="D5"/>
      <c r="E5"/>
      <c r="F5"/>
      <c r="G5"/>
      <c r="H5"/>
      <c r="I5"/>
    </row>
    <row r="8" spans="1:40" ht="15.75" x14ac:dyDescent="0.25">
      <c r="A8" s="30" t="s">
        <v>53</v>
      </c>
      <c r="B8" s="25" t="s">
        <v>50</v>
      </c>
      <c r="C8" s="24" t="s">
        <v>0</v>
      </c>
      <c r="D8" s="24" t="s">
        <v>1</v>
      </c>
      <c r="E8" s="24" t="s">
        <v>2</v>
      </c>
      <c r="F8" s="24" t="s">
        <v>3</v>
      </c>
      <c r="G8" s="24" t="s">
        <v>4</v>
      </c>
      <c r="H8" s="24" t="s">
        <v>5</v>
      </c>
      <c r="I8" s="24" t="s">
        <v>6</v>
      </c>
      <c r="J8" s="24" t="s">
        <v>7</v>
      </c>
      <c r="K8" s="24" t="s">
        <v>8</v>
      </c>
      <c r="L8" s="24" t="s">
        <v>9</v>
      </c>
      <c r="M8" s="24" t="s">
        <v>39</v>
      </c>
      <c r="N8" s="24" t="s">
        <v>10</v>
      </c>
      <c r="O8" s="24" t="s">
        <v>11</v>
      </c>
      <c r="P8" s="24" t="s">
        <v>12</v>
      </c>
      <c r="Q8" s="23" t="s">
        <v>13</v>
      </c>
      <c r="R8" s="24" t="s">
        <v>14</v>
      </c>
      <c r="S8" s="24" t="s">
        <v>15</v>
      </c>
      <c r="T8" s="24" t="s">
        <v>16</v>
      </c>
      <c r="U8" s="24" t="s">
        <v>31</v>
      </c>
      <c r="V8" s="24" t="s">
        <v>30</v>
      </c>
      <c r="W8" s="24" t="s">
        <v>41</v>
      </c>
      <c r="X8" s="24" t="s">
        <v>49</v>
      </c>
      <c r="Y8" s="24" t="s">
        <v>17</v>
      </c>
      <c r="Z8" s="24" t="s">
        <v>18</v>
      </c>
      <c r="AA8" s="24" t="s">
        <v>29</v>
      </c>
      <c r="AB8" s="24" t="s">
        <v>19</v>
      </c>
      <c r="AC8" s="24" t="s">
        <v>28</v>
      </c>
      <c r="AD8" s="23" t="s">
        <v>48</v>
      </c>
      <c r="AE8" s="24" t="s">
        <v>47</v>
      </c>
      <c r="AF8" s="23" t="s">
        <v>46</v>
      </c>
      <c r="AG8" s="24" t="s">
        <v>27</v>
      </c>
      <c r="AH8" s="32" t="s">
        <v>33</v>
      </c>
      <c r="AI8" s="24" t="s">
        <v>45</v>
      </c>
      <c r="AJ8" s="23" t="s">
        <v>37</v>
      </c>
      <c r="AK8" s="24" t="s">
        <v>36</v>
      </c>
      <c r="AL8" s="23" t="s">
        <v>26</v>
      </c>
      <c r="AM8" s="22" t="s">
        <v>44</v>
      </c>
    </row>
    <row r="9" spans="1:40" ht="15.75" x14ac:dyDescent="0.25">
      <c r="A9" s="27" t="s">
        <v>52</v>
      </c>
      <c r="B9" s="21" t="s">
        <v>21</v>
      </c>
      <c r="C9" s="20" t="s">
        <v>21</v>
      </c>
      <c r="D9" s="20" t="s">
        <v>21</v>
      </c>
      <c r="E9" s="20" t="s">
        <v>21</v>
      </c>
      <c r="F9" s="20" t="s">
        <v>21</v>
      </c>
      <c r="G9" s="20" t="s">
        <v>21</v>
      </c>
      <c r="H9" s="20" t="s">
        <v>21</v>
      </c>
      <c r="I9" s="20" t="s">
        <v>21</v>
      </c>
      <c r="J9" s="20" t="s">
        <v>21</v>
      </c>
      <c r="K9" s="20" t="s">
        <v>21</v>
      </c>
      <c r="L9" s="20" t="s">
        <v>21</v>
      </c>
      <c r="M9" s="20" t="s">
        <v>21</v>
      </c>
      <c r="N9" s="20" t="s">
        <v>21</v>
      </c>
      <c r="O9" s="20" t="s">
        <v>21</v>
      </c>
      <c r="P9" s="20" t="s">
        <v>21</v>
      </c>
      <c r="Q9" s="19" t="s">
        <v>21</v>
      </c>
      <c r="R9" s="20" t="s">
        <v>21</v>
      </c>
      <c r="S9" s="20" t="s">
        <v>21</v>
      </c>
      <c r="T9" s="20" t="s">
        <v>21</v>
      </c>
      <c r="U9" s="20" t="s">
        <v>21</v>
      </c>
      <c r="V9" s="20" t="s">
        <v>21</v>
      </c>
      <c r="W9" s="20" t="s">
        <v>21</v>
      </c>
      <c r="X9" s="20" t="s">
        <v>21</v>
      </c>
      <c r="Y9" s="20" t="s">
        <v>21</v>
      </c>
      <c r="Z9" s="20" t="s">
        <v>21</v>
      </c>
      <c r="AA9" s="20" t="s">
        <v>21</v>
      </c>
      <c r="AB9" s="20" t="s">
        <v>21</v>
      </c>
      <c r="AC9" s="20" t="s">
        <v>21</v>
      </c>
      <c r="AD9" s="19" t="s">
        <v>21</v>
      </c>
      <c r="AE9" s="20" t="s">
        <v>21</v>
      </c>
      <c r="AF9" s="19" t="s">
        <v>21</v>
      </c>
      <c r="AG9" s="20" t="s">
        <v>21</v>
      </c>
      <c r="AH9" s="37" t="s">
        <v>21</v>
      </c>
      <c r="AI9" s="20" t="s">
        <v>21</v>
      </c>
      <c r="AJ9" s="19" t="s">
        <v>21</v>
      </c>
      <c r="AK9" s="20" t="s">
        <v>21</v>
      </c>
      <c r="AL9" s="19" t="s">
        <v>21</v>
      </c>
      <c r="AM9" s="18" t="s">
        <v>21</v>
      </c>
    </row>
    <row r="10" spans="1:40" ht="15.75" x14ac:dyDescent="0.25">
      <c r="A10" s="15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5"/>
      <c r="N10" s="34"/>
      <c r="O10" s="34"/>
      <c r="P10" s="34"/>
      <c r="Q10" s="34"/>
      <c r="R10" s="34"/>
      <c r="S10" s="34"/>
      <c r="T10" s="34"/>
      <c r="U10" s="34"/>
      <c r="V10" s="35"/>
      <c r="W10" s="35"/>
      <c r="X10" s="35"/>
      <c r="Y10" s="34"/>
      <c r="Z10" s="34"/>
      <c r="AA10" s="34"/>
      <c r="AB10" s="34"/>
      <c r="AC10" s="34"/>
      <c r="AD10" s="34"/>
      <c r="AE10" s="36"/>
      <c r="AF10" s="36"/>
      <c r="AG10" s="35"/>
      <c r="AH10" s="35"/>
      <c r="AI10" s="35"/>
      <c r="AJ10" s="34"/>
      <c r="AK10" s="34"/>
      <c r="AL10" s="35"/>
      <c r="AM10" s="15"/>
    </row>
    <row r="11" spans="1:40" ht="15.75" x14ac:dyDescent="0.25">
      <c r="A11" s="29" t="s">
        <v>56</v>
      </c>
      <c r="B11" s="35"/>
      <c r="C11" s="33">
        <v>0.92079999999999995</v>
      </c>
      <c r="D11" s="33">
        <v>1.3056000000000001</v>
      </c>
      <c r="E11" s="33">
        <v>10.092599999999999</v>
      </c>
      <c r="F11" s="33">
        <v>50.9358</v>
      </c>
      <c r="G11" s="33">
        <v>0.1507</v>
      </c>
      <c r="H11" s="33">
        <v>1.2087000000000001</v>
      </c>
      <c r="I11" s="33">
        <v>3.85E-2</v>
      </c>
      <c r="J11" s="33">
        <v>2.1389999999999998</v>
      </c>
      <c r="K11" s="33">
        <v>26.079499999999999</v>
      </c>
      <c r="L11" s="33">
        <v>0.90769999999999995</v>
      </c>
      <c r="M11" s="35"/>
      <c r="N11" s="33">
        <v>2.3300000000000001E-2</v>
      </c>
      <c r="O11" s="33">
        <v>0.1782</v>
      </c>
      <c r="P11" s="33">
        <v>5.6864999999999997</v>
      </c>
      <c r="Q11" s="35"/>
      <c r="R11" s="33">
        <v>1.0800000000000001E-2</v>
      </c>
      <c r="S11" s="33">
        <v>4.8999999999999998E-3</v>
      </c>
      <c r="T11" s="33">
        <v>1.7999999999999999E-2</v>
      </c>
      <c r="U11" s="35"/>
      <c r="V11" s="33">
        <v>1.5800000000000002E-2</v>
      </c>
      <c r="W11" s="35"/>
      <c r="X11" s="35"/>
      <c r="Y11" s="33">
        <v>1.03E-2</v>
      </c>
      <c r="Z11" s="33">
        <v>4.9200000000000001E-2</v>
      </c>
      <c r="AA11" s="33">
        <v>3.8999999999999998E-3</v>
      </c>
      <c r="AB11" s="33">
        <v>8.5099999999999995E-2</v>
      </c>
      <c r="AC11" s="33">
        <v>1.8E-3</v>
      </c>
      <c r="AD11" s="35"/>
      <c r="AE11" s="35"/>
      <c r="AF11" s="36"/>
      <c r="AG11" s="33">
        <v>9.9500000000000005E-2</v>
      </c>
      <c r="AH11" s="33">
        <v>3.4099999999999998E-2</v>
      </c>
      <c r="AI11" s="35"/>
      <c r="AJ11" s="34"/>
      <c r="AK11" s="34"/>
      <c r="AL11" s="35"/>
      <c r="AM11" s="15"/>
      <c r="AN11" s="1">
        <f>SUM(C11:AL11)</f>
        <v>100.00030000000001</v>
      </c>
    </row>
    <row r="12" spans="1:40" x14ac:dyDescent="0.2">
      <c r="A12" s="27"/>
      <c r="B12" s="20"/>
      <c r="C12" s="20"/>
      <c r="D12" s="20"/>
      <c r="E12" s="28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7"/>
    </row>
    <row r="15" spans="1:40" ht="15.75" x14ac:dyDescent="0.25">
      <c r="A15" s="26" t="s">
        <v>51</v>
      </c>
      <c r="B15" s="25" t="s">
        <v>50</v>
      </c>
      <c r="C15" s="24" t="s">
        <v>0</v>
      </c>
      <c r="D15" s="24" t="s">
        <v>1</v>
      </c>
      <c r="E15" s="24" t="s">
        <v>2</v>
      </c>
      <c r="F15" s="24" t="s">
        <v>3</v>
      </c>
      <c r="G15" s="24" t="s">
        <v>4</v>
      </c>
      <c r="H15" s="24" t="s">
        <v>5</v>
      </c>
      <c r="I15" s="24" t="s">
        <v>6</v>
      </c>
      <c r="J15" s="24" t="s">
        <v>7</v>
      </c>
      <c r="K15" s="24" t="s">
        <v>8</v>
      </c>
      <c r="L15" s="24" t="s">
        <v>9</v>
      </c>
      <c r="M15" s="24" t="s">
        <v>39</v>
      </c>
      <c r="N15" s="24" t="s">
        <v>10</v>
      </c>
      <c r="O15" s="24" t="s">
        <v>11</v>
      </c>
      <c r="P15" s="24" t="s">
        <v>12</v>
      </c>
      <c r="Q15" s="23" t="s">
        <v>13</v>
      </c>
      <c r="R15" s="24" t="s">
        <v>14</v>
      </c>
      <c r="S15" s="24" t="s">
        <v>15</v>
      </c>
      <c r="T15" s="24" t="s">
        <v>16</v>
      </c>
      <c r="U15" s="24" t="s">
        <v>31</v>
      </c>
      <c r="V15" s="24" t="s">
        <v>30</v>
      </c>
      <c r="W15" s="24" t="s">
        <v>41</v>
      </c>
      <c r="X15" s="24" t="s">
        <v>49</v>
      </c>
      <c r="Y15" s="24" t="s">
        <v>17</v>
      </c>
      <c r="Z15" s="24" t="s">
        <v>18</v>
      </c>
      <c r="AA15" s="24" t="s">
        <v>29</v>
      </c>
      <c r="AB15" s="24" t="s">
        <v>19</v>
      </c>
      <c r="AC15" s="24" t="s">
        <v>28</v>
      </c>
      <c r="AD15" s="23" t="s">
        <v>48</v>
      </c>
      <c r="AE15" s="24" t="s">
        <v>47</v>
      </c>
      <c r="AF15" s="23" t="s">
        <v>46</v>
      </c>
      <c r="AG15" s="24" t="s">
        <v>27</v>
      </c>
      <c r="AH15" s="32" t="s">
        <v>33</v>
      </c>
      <c r="AI15" s="24" t="s">
        <v>45</v>
      </c>
      <c r="AJ15" s="23" t="s">
        <v>37</v>
      </c>
      <c r="AK15" s="24" t="s">
        <v>36</v>
      </c>
      <c r="AL15" s="23" t="s">
        <v>26</v>
      </c>
      <c r="AM15" s="22" t="s">
        <v>44</v>
      </c>
    </row>
    <row r="16" spans="1:40" ht="15.75" x14ac:dyDescent="0.25">
      <c r="A16" s="3" t="s">
        <v>43</v>
      </c>
      <c r="B16" s="21" t="s">
        <v>21</v>
      </c>
      <c r="C16" s="20" t="s">
        <v>21</v>
      </c>
      <c r="D16" s="20" t="s">
        <v>21</v>
      </c>
      <c r="E16" s="20" t="s">
        <v>21</v>
      </c>
      <c r="F16" s="20" t="s">
        <v>21</v>
      </c>
      <c r="G16" s="20" t="s">
        <v>21</v>
      </c>
      <c r="H16" s="20" t="s">
        <v>21</v>
      </c>
      <c r="I16" s="20" t="s">
        <v>21</v>
      </c>
      <c r="J16" s="20" t="s">
        <v>21</v>
      </c>
      <c r="K16" s="20" t="s">
        <v>21</v>
      </c>
      <c r="L16" s="20" t="s">
        <v>21</v>
      </c>
      <c r="M16" s="20" t="s">
        <v>21</v>
      </c>
      <c r="N16" s="20" t="s">
        <v>21</v>
      </c>
      <c r="O16" s="20" t="s">
        <v>21</v>
      </c>
      <c r="P16" s="20" t="s">
        <v>21</v>
      </c>
      <c r="Q16" s="19" t="s">
        <v>21</v>
      </c>
      <c r="R16" s="20" t="s">
        <v>21</v>
      </c>
      <c r="S16" s="20" t="s">
        <v>21</v>
      </c>
      <c r="T16" s="20" t="s">
        <v>21</v>
      </c>
      <c r="U16" s="20" t="s">
        <v>21</v>
      </c>
      <c r="V16" s="20" t="s">
        <v>21</v>
      </c>
      <c r="W16" s="20" t="s">
        <v>21</v>
      </c>
      <c r="X16" s="20" t="s">
        <v>21</v>
      </c>
      <c r="Y16" s="20" t="s">
        <v>21</v>
      </c>
      <c r="Z16" s="20" t="s">
        <v>21</v>
      </c>
      <c r="AA16" s="20" t="s">
        <v>21</v>
      </c>
      <c r="AB16" s="20" t="s">
        <v>21</v>
      </c>
      <c r="AC16" s="20" t="s">
        <v>21</v>
      </c>
      <c r="AD16" s="19" t="s">
        <v>21</v>
      </c>
      <c r="AE16" s="20" t="s">
        <v>21</v>
      </c>
      <c r="AF16" s="19" t="s">
        <v>21</v>
      </c>
      <c r="AG16" s="20" t="s">
        <v>21</v>
      </c>
      <c r="AH16" s="37" t="s">
        <v>21</v>
      </c>
      <c r="AI16" s="20" t="s">
        <v>21</v>
      </c>
      <c r="AJ16" s="19" t="s">
        <v>21</v>
      </c>
      <c r="AK16" s="20" t="s">
        <v>21</v>
      </c>
      <c r="AL16" s="19" t="s">
        <v>21</v>
      </c>
      <c r="AM16" s="18" t="s">
        <v>21</v>
      </c>
    </row>
    <row r="17" spans="1:40" ht="15.75" x14ac:dyDescent="0.25">
      <c r="A17" s="10"/>
      <c r="B17" s="16"/>
      <c r="C17" s="16"/>
      <c r="D17" s="16"/>
      <c r="E17" s="16"/>
      <c r="F17" s="16"/>
      <c r="G17" s="16"/>
      <c r="H17" s="16"/>
      <c r="J17" s="16"/>
      <c r="K17" s="16"/>
      <c r="L17" s="16"/>
      <c r="O17" s="16"/>
      <c r="P17" s="16"/>
      <c r="Q17" s="16"/>
      <c r="T17" s="16"/>
      <c r="Y17" s="16"/>
      <c r="Z17" s="16"/>
      <c r="AA17" s="16"/>
      <c r="AB17" s="16"/>
      <c r="AD17" s="16"/>
      <c r="AG17" s="16"/>
      <c r="AH17" s="16"/>
      <c r="AM17" s="15"/>
    </row>
    <row r="18" spans="1:40" ht="15.75" x14ac:dyDescent="0.25">
      <c r="A18" s="10" t="s">
        <v>57</v>
      </c>
      <c r="B18" s="16"/>
      <c r="C18">
        <v>0.92900000000000005</v>
      </c>
      <c r="D18">
        <v>13.57</v>
      </c>
      <c r="E18">
        <v>9.7378999999999998</v>
      </c>
      <c r="F18">
        <v>38.674399999999999</v>
      </c>
      <c r="G18">
        <v>7.9600000000000004E-2</v>
      </c>
      <c r="H18">
        <v>0.4345</v>
      </c>
      <c r="I18">
        <v>3.8600000000000002E-2</v>
      </c>
      <c r="J18">
        <v>0.21240000000000001</v>
      </c>
      <c r="K18">
        <v>14.9657</v>
      </c>
      <c r="L18">
        <v>3.9133</v>
      </c>
      <c r="N18">
        <v>7.3899999999999993E-2</v>
      </c>
      <c r="O18">
        <v>0.1734</v>
      </c>
      <c r="P18">
        <v>17.0733</v>
      </c>
      <c r="Q18">
        <v>9.7999999999999997E-3</v>
      </c>
      <c r="R18">
        <v>2.4199999999999999E-2</v>
      </c>
      <c r="S18">
        <v>1.6299999999999999E-2</v>
      </c>
      <c r="T18">
        <v>2.3099999999999999E-2</v>
      </c>
      <c r="Y18">
        <v>1.8E-3</v>
      </c>
      <c r="Z18">
        <v>3.4700000000000002E-2</v>
      </c>
      <c r="AB18">
        <v>1.44E-2</v>
      </c>
      <c r="AD18" s="16"/>
      <c r="AG18" s="16"/>
      <c r="AH18" s="16"/>
      <c r="AM18" s="15"/>
    </row>
    <row r="19" spans="1:40" ht="15.75" x14ac:dyDescent="0.25">
      <c r="A19" s="10" t="s">
        <v>57</v>
      </c>
      <c r="B19" s="16"/>
      <c r="C19">
        <v>0.92859999999999998</v>
      </c>
      <c r="D19">
        <v>13.556699999999999</v>
      </c>
      <c r="E19">
        <v>9.7108000000000008</v>
      </c>
      <c r="F19">
        <v>38.677399999999999</v>
      </c>
      <c r="G19">
        <v>7.7399999999999997E-2</v>
      </c>
      <c r="H19">
        <v>0.43390000000000001</v>
      </c>
      <c r="I19">
        <v>3.5999999999999997E-2</v>
      </c>
      <c r="J19">
        <v>0.2127</v>
      </c>
      <c r="K19">
        <v>14.933199999999999</v>
      </c>
      <c r="L19">
        <v>3.92</v>
      </c>
      <c r="N19">
        <v>7.6100000000000001E-2</v>
      </c>
      <c r="O19">
        <v>0.1774</v>
      </c>
      <c r="P19">
        <v>17.1282</v>
      </c>
      <c r="Q19">
        <v>1.32E-2</v>
      </c>
      <c r="R19">
        <v>2.5499999999999998E-2</v>
      </c>
      <c r="S19">
        <v>1.5299999999999999E-2</v>
      </c>
      <c r="T19">
        <v>2.53E-2</v>
      </c>
      <c r="Y19" s="16"/>
      <c r="Z19">
        <v>3.4599999999999999E-2</v>
      </c>
      <c r="AA19">
        <v>2.3999999999999998E-3</v>
      </c>
      <c r="AB19">
        <v>1.17E-2</v>
      </c>
      <c r="AC19">
        <v>3.5999999999999999E-3</v>
      </c>
      <c r="AD19" s="16"/>
      <c r="AG19" s="16"/>
      <c r="AH19" s="16"/>
      <c r="AM19" s="15"/>
    </row>
    <row r="20" spans="1:40" ht="15.75" x14ac:dyDescent="0.25">
      <c r="A20" s="10" t="s">
        <v>57</v>
      </c>
      <c r="B20" s="16"/>
      <c r="C20">
        <v>0.97599999999999998</v>
      </c>
      <c r="D20">
        <v>13.5654</v>
      </c>
      <c r="E20">
        <v>9.7644000000000002</v>
      </c>
      <c r="F20">
        <v>38.594299999999997</v>
      </c>
      <c r="G20">
        <v>7.4999999999999997E-2</v>
      </c>
      <c r="H20">
        <v>0.43969999999999998</v>
      </c>
      <c r="I20">
        <v>3.4700000000000002E-2</v>
      </c>
      <c r="J20">
        <v>0.21859999999999999</v>
      </c>
      <c r="K20">
        <v>14.789199999999999</v>
      </c>
      <c r="L20">
        <v>3.9441000000000002</v>
      </c>
      <c r="M20">
        <v>0.1231</v>
      </c>
      <c r="N20">
        <v>0.10589999999999999</v>
      </c>
      <c r="O20">
        <v>0.1749</v>
      </c>
      <c r="P20">
        <v>17.065799999999999</v>
      </c>
      <c r="Q20">
        <v>8.2000000000000007E-3</v>
      </c>
      <c r="R20">
        <v>2.4799999999999999E-2</v>
      </c>
      <c r="S20">
        <v>1.46E-2</v>
      </c>
      <c r="T20">
        <v>2.52E-2</v>
      </c>
      <c r="U20">
        <v>2.3999999999999998E-3</v>
      </c>
      <c r="Z20">
        <v>3.5499999999999997E-2</v>
      </c>
      <c r="AA20">
        <v>1.5E-3</v>
      </c>
      <c r="AB20">
        <v>1.43E-2</v>
      </c>
      <c r="AC20">
        <v>2.5999999999999999E-3</v>
      </c>
      <c r="AD20" s="16"/>
      <c r="AG20" s="16"/>
      <c r="AH20" s="16"/>
      <c r="AM20" s="15"/>
    </row>
    <row r="21" spans="1:40" ht="15.75" x14ac:dyDescent="0.25">
      <c r="A21" s="10" t="s">
        <v>60</v>
      </c>
      <c r="B21" s="16"/>
      <c r="C21" s="16">
        <f>AVERAGE(C18:C20)</f>
        <v>0.94453333333333334</v>
      </c>
      <c r="D21" s="16">
        <f t="shared" ref="D21:AM21" si="0">AVERAGE(D18:D20)</f>
        <v>13.564033333333333</v>
      </c>
      <c r="E21" s="16">
        <f t="shared" si="0"/>
        <v>9.737700000000002</v>
      </c>
      <c r="F21" s="16">
        <f t="shared" si="0"/>
        <v>38.648699999999998</v>
      </c>
      <c r="G21" s="16">
        <f t="shared" si="0"/>
        <v>7.7333333333333323E-2</v>
      </c>
      <c r="H21" s="16">
        <f t="shared" si="0"/>
        <v>0.43603333333333333</v>
      </c>
      <c r="I21" s="1">
        <f t="shared" si="0"/>
        <v>3.6433333333333338E-2</v>
      </c>
      <c r="J21" s="16">
        <f t="shared" si="0"/>
        <v>0.21456666666666668</v>
      </c>
      <c r="K21" s="16">
        <f t="shared" si="0"/>
        <v>14.896033333333333</v>
      </c>
      <c r="L21" s="16">
        <f t="shared" si="0"/>
        <v>3.9258000000000002</v>
      </c>
      <c r="M21" s="1">
        <f t="shared" si="0"/>
        <v>0.1231</v>
      </c>
      <c r="N21" s="1">
        <f t="shared" si="0"/>
        <v>8.5300000000000001E-2</v>
      </c>
      <c r="O21" s="16">
        <f t="shared" si="0"/>
        <v>0.17523333333333335</v>
      </c>
      <c r="P21" s="16">
        <f t="shared" si="0"/>
        <v>17.089099999999998</v>
      </c>
      <c r="Q21" s="16">
        <f t="shared" si="0"/>
        <v>1.04E-2</v>
      </c>
      <c r="R21" s="1">
        <f t="shared" si="0"/>
        <v>2.4833333333333332E-2</v>
      </c>
      <c r="S21" s="1">
        <f t="shared" si="0"/>
        <v>1.5399999999999999E-2</v>
      </c>
      <c r="T21" s="16">
        <f t="shared" si="0"/>
        <v>2.4533333333333334E-2</v>
      </c>
      <c r="U21" s="1">
        <f t="shared" si="0"/>
        <v>2.3999999999999998E-3</v>
      </c>
      <c r="V21" s="1" t="e">
        <f t="shared" si="0"/>
        <v>#DIV/0!</v>
      </c>
      <c r="W21" s="1" t="e">
        <f t="shared" si="0"/>
        <v>#DIV/0!</v>
      </c>
      <c r="X21" s="1" t="e">
        <f t="shared" si="0"/>
        <v>#DIV/0!</v>
      </c>
      <c r="Y21" s="16">
        <f t="shared" si="0"/>
        <v>1.8E-3</v>
      </c>
      <c r="Z21" s="16">
        <f t="shared" si="0"/>
        <v>3.4933333333333337E-2</v>
      </c>
      <c r="AA21" s="16">
        <f t="shared" si="0"/>
        <v>1.9499999999999999E-3</v>
      </c>
      <c r="AB21" s="16">
        <f t="shared" si="0"/>
        <v>1.3466666666666667E-2</v>
      </c>
      <c r="AC21" s="1">
        <f t="shared" si="0"/>
        <v>3.0999999999999999E-3</v>
      </c>
      <c r="AD21" s="16" t="e">
        <f t="shared" si="0"/>
        <v>#DIV/0!</v>
      </c>
      <c r="AE21" s="1" t="e">
        <f t="shared" si="0"/>
        <v>#DIV/0!</v>
      </c>
      <c r="AF21" s="1" t="e">
        <f t="shared" si="0"/>
        <v>#DIV/0!</v>
      </c>
      <c r="AG21" s="16" t="e">
        <f t="shared" si="0"/>
        <v>#DIV/0!</v>
      </c>
      <c r="AH21" s="16" t="e">
        <f t="shared" si="0"/>
        <v>#DIV/0!</v>
      </c>
      <c r="AI21" s="1" t="e">
        <f t="shared" si="0"/>
        <v>#DIV/0!</v>
      </c>
      <c r="AJ21" s="1" t="e">
        <f t="shared" si="0"/>
        <v>#DIV/0!</v>
      </c>
      <c r="AK21" s="1" t="e">
        <f t="shared" si="0"/>
        <v>#DIV/0!</v>
      </c>
      <c r="AL21" s="1" t="e">
        <f t="shared" si="0"/>
        <v>#DIV/0!</v>
      </c>
      <c r="AM21" s="15" t="e">
        <f t="shared" si="0"/>
        <v>#DIV/0!</v>
      </c>
    </row>
    <row r="22" spans="1:40" ht="15.75" x14ac:dyDescent="0.25">
      <c r="A22" s="10" t="s">
        <v>59</v>
      </c>
      <c r="B22" s="16"/>
      <c r="C22">
        <v>9.2698999999999998</v>
      </c>
      <c r="D22">
        <v>6.9099999999999995E-2</v>
      </c>
      <c r="E22">
        <v>19.8005</v>
      </c>
      <c r="F22">
        <v>58.369</v>
      </c>
      <c r="G22">
        <v>0.1661</v>
      </c>
      <c r="H22">
        <v>0.43430000000000002</v>
      </c>
      <c r="I22">
        <v>9.1899999999999996E-2</v>
      </c>
      <c r="J22">
        <v>4.7057000000000002</v>
      </c>
      <c r="K22">
        <v>1.1202000000000001</v>
      </c>
      <c r="L22">
        <v>0.13900000000000001</v>
      </c>
      <c r="O22">
        <v>0.23699999999999999</v>
      </c>
      <c r="P22">
        <v>5.1364000000000001</v>
      </c>
      <c r="R22">
        <v>3.0999999999999999E-3</v>
      </c>
      <c r="T22">
        <v>3.2399999999999998E-2</v>
      </c>
      <c r="U22">
        <v>4.3E-3</v>
      </c>
      <c r="V22">
        <v>1.9E-3</v>
      </c>
      <c r="Y22">
        <v>1.3899999999999999E-2</v>
      </c>
      <c r="Z22">
        <v>9.6199999999999994E-2</v>
      </c>
      <c r="AA22">
        <v>5.5999999999999999E-3</v>
      </c>
      <c r="AB22">
        <v>0.19500000000000001</v>
      </c>
      <c r="AC22">
        <v>5.0999999999999997E-2</v>
      </c>
      <c r="AG22">
        <v>5.45E-2</v>
      </c>
      <c r="AL22">
        <v>2.8999999999999998E-3</v>
      </c>
      <c r="AM22" s="15"/>
    </row>
    <row r="23" spans="1:40" ht="15.75" x14ac:dyDescent="0.25">
      <c r="A23" s="10" t="s">
        <v>59</v>
      </c>
      <c r="B23" s="2"/>
      <c r="C23">
        <v>9.3283000000000005</v>
      </c>
      <c r="D23">
        <v>7.1400000000000005E-2</v>
      </c>
      <c r="E23">
        <v>19.875399999999999</v>
      </c>
      <c r="F23">
        <v>58.1419</v>
      </c>
      <c r="G23">
        <v>0.16600000000000001</v>
      </c>
      <c r="H23">
        <v>0.41970000000000002</v>
      </c>
      <c r="I23">
        <v>9.5100000000000004E-2</v>
      </c>
      <c r="J23">
        <v>4.7169999999999996</v>
      </c>
      <c r="K23">
        <v>1.1496</v>
      </c>
      <c r="L23">
        <v>0.14330000000000001</v>
      </c>
      <c r="O23">
        <v>0.23749999999999999</v>
      </c>
      <c r="P23">
        <v>5.1474000000000002</v>
      </c>
      <c r="T23">
        <v>3.2399999999999998E-2</v>
      </c>
      <c r="U23">
        <v>4.1999999999999997E-3</v>
      </c>
      <c r="Y23">
        <v>1.4500000000000001E-2</v>
      </c>
      <c r="Z23">
        <v>9.6600000000000005E-2</v>
      </c>
      <c r="AA23">
        <v>4.8999999999999998E-3</v>
      </c>
      <c r="AB23">
        <v>0.18659999999999999</v>
      </c>
      <c r="AC23">
        <v>4.8800000000000003E-2</v>
      </c>
      <c r="AG23">
        <v>7.1300000000000002E-2</v>
      </c>
      <c r="AJ23">
        <v>3.8699999999999998E-2</v>
      </c>
      <c r="AK23">
        <v>4.3E-3</v>
      </c>
      <c r="AL23">
        <v>5.3E-3</v>
      </c>
      <c r="AM23" s="15"/>
    </row>
    <row r="24" spans="1:40" ht="15.75" x14ac:dyDescent="0.25">
      <c r="A24" s="10" t="s">
        <v>59</v>
      </c>
      <c r="B24" s="2"/>
      <c r="C24">
        <v>9.2102000000000004</v>
      </c>
      <c r="D24">
        <v>7.3099999999999998E-2</v>
      </c>
      <c r="E24">
        <v>19.827300000000001</v>
      </c>
      <c r="F24">
        <v>58.2361</v>
      </c>
      <c r="G24">
        <v>0.16270000000000001</v>
      </c>
      <c r="H24">
        <v>0.42580000000000001</v>
      </c>
      <c r="I24">
        <v>9.5500000000000002E-2</v>
      </c>
      <c r="J24">
        <v>4.7751999999999999</v>
      </c>
      <c r="K24">
        <v>1.1555</v>
      </c>
      <c r="L24">
        <v>0.1331</v>
      </c>
      <c r="O24">
        <v>0.2225</v>
      </c>
      <c r="P24">
        <v>5.1950000000000003</v>
      </c>
      <c r="T24">
        <v>3.1600000000000003E-2</v>
      </c>
      <c r="U24">
        <v>5.3E-3</v>
      </c>
      <c r="W24">
        <v>1.4E-3</v>
      </c>
      <c r="Y24">
        <v>1.3599999999999999E-2</v>
      </c>
      <c r="Z24">
        <v>9.6100000000000005E-2</v>
      </c>
      <c r="AA24">
        <v>4.5999999999999999E-3</v>
      </c>
      <c r="AB24">
        <v>0.18260000000000001</v>
      </c>
      <c r="AC24">
        <v>0.05</v>
      </c>
      <c r="AG24">
        <v>7.3800000000000004E-2</v>
      </c>
      <c r="AJ24">
        <v>2.9100000000000001E-2</v>
      </c>
      <c r="AM24" s="15"/>
    </row>
    <row r="25" spans="1:40" ht="15.75" x14ac:dyDescent="0.25">
      <c r="A25" s="17" t="s">
        <v>61</v>
      </c>
      <c r="B25" s="2"/>
      <c r="C25">
        <f>AVERAGE(C22:C24)</f>
        <v>9.2694666666666663</v>
      </c>
      <c r="D25">
        <f t="shared" ref="D25:AM25" si="1">AVERAGE(D22:D24)</f>
        <v>7.1199999999999999E-2</v>
      </c>
      <c r="E25">
        <f t="shared" si="1"/>
        <v>19.834399999999999</v>
      </c>
      <c r="F25">
        <f t="shared" si="1"/>
        <v>58.248999999999995</v>
      </c>
      <c r="G25">
        <f t="shared" si="1"/>
        <v>0.16493333333333335</v>
      </c>
      <c r="H25">
        <f t="shared" si="1"/>
        <v>0.42660000000000003</v>
      </c>
      <c r="I25">
        <f t="shared" si="1"/>
        <v>9.4166666666666662E-2</v>
      </c>
      <c r="J25">
        <f t="shared" si="1"/>
        <v>4.7326333333333332</v>
      </c>
      <c r="K25">
        <f t="shared" si="1"/>
        <v>1.1417666666666666</v>
      </c>
      <c r="L25">
        <f t="shared" si="1"/>
        <v>0.13846666666666665</v>
      </c>
      <c r="M25" t="e">
        <f t="shared" si="1"/>
        <v>#DIV/0!</v>
      </c>
      <c r="N25" t="e">
        <f t="shared" si="1"/>
        <v>#DIV/0!</v>
      </c>
      <c r="O25">
        <f t="shared" si="1"/>
        <v>0.23233333333333331</v>
      </c>
      <c r="P25">
        <f t="shared" si="1"/>
        <v>5.1596000000000002</v>
      </c>
      <c r="Q25" t="e">
        <f t="shared" si="1"/>
        <v>#DIV/0!</v>
      </c>
      <c r="R25">
        <f t="shared" si="1"/>
        <v>3.0999999999999999E-3</v>
      </c>
      <c r="S25" t="e">
        <f t="shared" si="1"/>
        <v>#DIV/0!</v>
      </c>
      <c r="T25">
        <f t="shared" si="1"/>
        <v>3.2133333333333333E-2</v>
      </c>
      <c r="U25">
        <f t="shared" si="1"/>
        <v>4.5999999999999999E-3</v>
      </c>
      <c r="V25">
        <f t="shared" si="1"/>
        <v>1.9E-3</v>
      </c>
      <c r="W25">
        <f t="shared" si="1"/>
        <v>1.4E-3</v>
      </c>
      <c r="X25" t="e">
        <f t="shared" si="1"/>
        <v>#DIV/0!</v>
      </c>
      <c r="Y25" s="1">
        <f t="shared" si="1"/>
        <v>1.4E-2</v>
      </c>
      <c r="Z25" s="16">
        <f t="shared" si="1"/>
        <v>9.6299999999999997E-2</v>
      </c>
      <c r="AA25" s="1">
        <f t="shared" si="1"/>
        <v>5.0333333333333332E-3</v>
      </c>
      <c r="AB25" s="1">
        <f t="shared" si="1"/>
        <v>0.18806666666666669</v>
      </c>
      <c r="AC25" s="16">
        <f t="shared" si="1"/>
        <v>4.993333333333333E-2</v>
      </c>
      <c r="AD25" s="1" t="e">
        <f t="shared" si="1"/>
        <v>#DIV/0!</v>
      </c>
      <c r="AE25" s="1" t="e">
        <f t="shared" si="1"/>
        <v>#DIV/0!</v>
      </c>
      <c r="AF25" s="1" t="e">
        <f t="shared" si="1"/>
        <v>#DIV/0!</v>
      </c>
      <c r="AG25" s="16">
        <f t="shared" si="1"/>
        <v>6.6533333333333333E-2</v>
      </c>
      <c r="AH25" s="16" t="e">
        <f t="shared" si="1"/>
        <v>#DIV/0!</v>
      </c>
      <c r="AI25" s="1" t="e">
        <f t="shared" si="1"/>
        <v>#DIV/0!</v>
      </c>
      <c r="AJ25" s="1">
        <f t="shared" si="1"/>
        <v>3.39E-2</v>
      </c>
      <c r="AK25" s="1">
        <f t="shared" si="1"/>
        <v>4.3E-3</v>
      </c>
      <c r="AL25" s="1">
        <f t="shared" si="1"/>
        <v>4.0999999999999995E-3</v>
      </c>
      <c r="AM25" s="15" t="e">
        <f t="shared" si="1"/>
        <v>#DIV/0!</v>
      </c>
    </row>
    <row r="26" spans="1:40" ht="15.75" x14ac:dyDescent="0.25">
      <c r="A26" s="17" t="s">
        <v>42</v>
      </c>
      <c r="B26" s="2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Z26" s="16"/>
      <c r="AC26" s="16"/>
      <c r="AG26" s="16"/>
      <c r="AH26" s="16"/>
      <c r="AM26" s="15"/>
    </row>
    <row r="27" spans="1:40" s="2" customFormat="1" x14ac:dyDescent="0.2">
      <c r="A27" s="10" t="s">
        <v>57</v>
      </c>
      <c r="B27" s="12">
        <f>240/10000</f>
        <v>2.4E-2</v>
      </c>
      <c r="C27" s="14">
        <v>0.74</v>
      </c>
      <c r="D27" s="39">
        <v>13.55</v>
      </c>
      <c r="E27" s="39">
        <v>8.4700000000000006</v>
      </c>
      <c r="F27" s="39">
        <v>39.119999999999997</v>
      </c>
      <c r="G27" s="39">
        <v>0.08</v>
      </c>
      <c r="H27" s="13">
        <f>610/10000*2.4972</f>
        <v>0.1523292</v>
      </c>
      <c r="I27" s="13">
        <f>170/10000</f>
        <v>1.7000000000000001E-2</v>
      </c>
      <c r="J27" s="39">
        <v>0.18</v>
      </c>
      <c r="K27" s="39">
        <v>14.7</v>
      </c>
      <c r="L27" s="39">
        <v>3.77</v>
      </c>
      <c r="M27" s="13">
        <f>526/10000*1.7852</f>
        <v>9.3901520000000002E-2</v>
      </c>
      <c r="N27" s="13">
        <f>430/10000*1.4615</f>
        <v>6.2844499999999998E-2</v>
      </c>
      <c r="O27" s="39">
        <v>0.17</v>
      </c>
      <c r="P27" s="39">
        <v>17.98</v>
      </c>
      <c r="Q27" s="12">
        <f>87/10000*1.4241</f>
        <v>1.2389669999999998E-2</v>
      </c>
      <c r="R27" s="12">
        <f>193/10000*1.275</f>
        <v>2.4607500000000001E-2</v>
      </c>
      <c r="S27" s="12">
        <f>4134/10000*1.2518</f>
        <v>0.51749411999999995</v>
      </c>
      <c r="T27" s="12">
        <f>191/10000*1.2448</f>
        <v>2.3775679999999997E-2</v>
      </c>
      <c r="U27" s="12">
        <f>1.39/10000*1.3442</f>
        <v>1.8684379999999999E-4</v>
      </c>
      <c r="V27" s="12"/>
      <c r="W27" s="12"/>
      <c r="X27" s="12"/>
      <c r="Y27" s="12">
        <f>48.5/10000*1.0936</f>
        <v>5.3039599999999999E-3</v>
      </c>
      <c r="Z27" s="13">
        <f>266/10000*1.1826</f>
        <v>3.1457159999999998E-2</v>
      </c>
      <c r="AA27" s="12">
        <f>14/10000*1.2699</f>
        <v>1.77786E-3</v>
      </c>
      <c r="AB27" s="12">
        <f>108/10000*1.3508</f>
        <v>1.458864E-2</v>
      </c>
      <c r="AC27" s="12">
        <f>20/10000*1.4305</f>
        <v>2.8610000000000003E-3</v>
      </c>
      <c r="AD27" s="12">
        <f>0.8/10000*1.5003</f>
        <v>1.20024E-4</v>
      </c>
      <c r="AE27" s="12"/>
      <c r="AF27" s="12"/>
      <c r="AG27" s="13">
        <f>61/10000*1.1165</f>
        <v>6.8106500000000006E-3</v>
      </c>
      <c r="AH27" s="13"/>
      <c r="AI27" s="12"/>
      <c r="AJ27" s="31"/>
      <c r="AK27" s="12"/>
      <c r="AL27" s="12"/>
      <c r="AM27" s="10"/>
      <c r="AN27" s="1"/>
    </row>
    <row r="28" spans="1:40" s="2" customFormat="1" x14ac:dyDescent="0.2">
      <c r="A28" s="10" t="s">
        <v>59</v>
      </c>
      <c r="B28" s="11">
        <f>910/10000</f>
        <v>9.0999999999999998E-2</v>
      </c>
      <c r="C28" s="11">
        <v>8.94</v>
      </c>
      <c r="D28" s="11">
        <v>0.10100000000000001</v>
      </c>
      <c r="E28" s="11">
        <v>18.39</v>
      </c>
      <c r="F28" s="11">
        <v>59.64</v>
      </c>
      <c r="G28" s="11">
        <v>0.158</v>
      </c>
      <c r="H28" s="11">
        <f>43/10000*2.4972</f>
        <v>1.073796E-2</v>
      </c>
      <c r="I28" s="11">
        <f>460/10000</f>
        <v>4.5999999999999999E-2</v>
      </c>
      <c r="J28" s="11">
        <v>4.28</v>
      </c>
      <c r="K28" s="11">
        <v>1.0900000000000001</v>
      </c>
      <c r="L28" s="11">
        <v>0.13500000000000001</v>
      </c>
      <c r="M28" s="11">
        <f>8.7/10000*1.7852</f>
        <v>1.5531239999999997E-3</v>
      </c>
      <c r="N28" s="11">
        <f>4.3/10000*1.4615</f>
        <v>6.2844500000000005E-4</v>
      </c>
      <c r="O28" s="11">
        <v>0.22</v>
      </c>
      <c r="P28" s="11">
        <v>5.22</v>
      </c>
      <c r="Q28" s="12">
        <f>0.9/10000*1.4241</f>
        <v>1.28169E-4</v>
      </c>
      <c r="R28" s="12">
        <f>3/10000*1.275</f>
        <v>3.8249999999999992E-4</v>
      </c>
      <c r="S28" s="12">
        <f>4.6/10000*1.2518</f>
        <v>5.7582799999999991E-4</v>
      </c>
      <c r="T28" s="12">
        <f>235/10000*1.2448</f>
        <v>2.9252799999999999E-2</v>
      </c>
      <c r="U28" s="12">
        <f>36/10000*1.3442</f>
        <v>4.8391199999999997E-3</v>
      </c>
      <c r="V28" s="12">
        <f>4.6/10000*1.3203</f>
        <v>6.0733799999999991E-4</v>
      </c>
      <c r="W28" s="12">
        <f>2.3/10000</f>
        <v>2.2999999999999998E-4</v>
      </c>
      <c r="X28" s="12"/>
      <c r="Y28" s="12">
        <f>118/10000*1.0936</f>
        <v>1.2904479999999999E-2</v>
      </c>
      <c r="Z28" s="13">
        <f>700/10000*1.1826</f>
        <v>8.2782000000000008E-2</v>
      </c>
      <c r="AA28" s="12">
        <f>46/10000*1.2699</f>
        <v>5.8415400000000001E-3</v>
      </c>
      <c r="AB28" s="12">
        <f>1210/10000*1.3508</f>
        <v>0.1634468</v>
      </c>
      <c r="AC28" s="12">
        <f>268/10000*1.4305</f>
        <v>3.8337400000000001E-2</v>
      </c>
      <c r="AD28" s="12">
        <f>5.2/10000*1.5003</f>
        <v>7.8015600000000006E-4</v>
      </c>
      <c r="AE28" s="12"/>
      <c r="AF28" s="12"/>
      <c r="AG28" s="13">
        <f>560/10000*1.1165</f>
        <v>6.252400000000001E-2</v>
      </c>
      <c r="AH28" s="12"/>
      <c r="AI28" s="12"/>
      <c r="AJ28" s="31">
        <f>259/10000*1.2284</f>
        <v>3.181556E-2</v>
      </c>
      <c r="AK28" s="12">
        <f>17.7/10000*1.0772</f>
        <v>1.9066439999999997E-3</v>
      </c>
      <c r="AL28" s="12">
        <f>31/10000*1.1379</f>
        <v>3.5274899999999994E-3</v>
      </c>
      <c r="AM28" s="10"/>
      <c r="AN28" s="1"/>
    </row>
    <row r="29" spans="1:40" s="2" customFormat="1" x14ac:dyDescent="0.2">
      <c r="A29" s="3"/>
      <c r="B29" s="4"/>
      <c r="C29" s="4"/>
      <c r="D29" s="4"/>
      <c r="E29" s="4"/>
      <c r="F29" s="4"/>
      <c r="G29" s="4"/>
      <c r="H29" s="4"/>
      <c r="I29" s="8"/>
      <c r="J29" s="4"/>
      <c r="K29" s="9"/>
      <c r="L29" s="4"/>
      <c r="M29" s="5"/>
      <c r="N29" s="4"/>
      <c r="O29" s="4"/>
      <c r="P29" s="4"/>
      <c r="Q29" s="4"/>
      <c r="R29" s="7"/>
      <c r="S29" s="5"/>
      <c r="T29" s="5"/>
      <c r="U29" s="8"/>
      <c r="V29" s="5"/>
      <c r="W29" s="4"/>
      <c r="X29" s="8"/>
      <c r="Y29" s="5"/>
      <c r="Z29" s="5"/>
      <c r="AA29" s="7"/>
      <c r="AB29" s="5"/>
      <c r="AC29" s="5"/>
      <c r="AD29" s="5"/>
      <c r="AE29" s="6"/>
      <c r="AF29" s="6"/>
      <c r="AG29" s="4"/>
      <c r="AH29" s="4"/>
      <c r="AI29" s="4"/>
      <c r="AJ29" s="5"/>
      <c r="AK29" s="5"/>
      <c r="AL29" s="4"/>
      <c r="AM29" s="3"/>
      <c r="AN29" s="1"/>
    </row>
    <row r="31" spans="1:40" x14ac:dyDescent="0.2">
      <c r="A31" s="1" t="s">
        <v>62</v>
      </c>
      <c r="C31" s="1">
        <f>C27/C21</f>
        <v>0.78345567476002254</v>
      </c>
      <c r="D31" s="1">
        <f t="shared" ref="D31:AM31" si="2">D27/D21</f>
        <v>0.99896540114665999</v>
      </c>
      <c r="E31" s="1">
        <f t="shared" si="2"/>
        <v>0.86981525411544813</v>
      </c>
      <c r="F31" s="1">
        <f t="shared" si="2"/>
        <v>1.0121944593220471</v>
      </c>
      <c r="G31" s="1">
        <f t="shared" si="2"/>
        <v>1.0344827586206897</v>
      </c>
      <c r="H31" s="1">
        <f t="shared" si="2"/>
        <v>0.34935219019952601</v>
      </c>
      <c r="I31" s="1">
        <f t="shared" si="2"/>
        <v>0.46660567246111617</v>
      </c>
      <c r="J31" s="1">
        <f t="shared" si="2"/>
        <v>0.83890010874631027</v>
      </c>
      <c r="K31" s="1">
        <f t="shared" si="2"/>
        <v>0.98683989697480978</v>
      </c>
      <c r="L31" s="1">
        <f t="shared" si="2"/>
        <v>0.96031382138672372</v>
      </c>
      <c r="M31" s="1">
        <f t="shared" si="2"/>
        <v>0.76280682372055242</v>
      </c>
      <c r="N31" s="1">
        <f t="shared" si="2"/>
        <v>0.73674677608440797</v>
      </c>
      <c r="O31" s="1">
        <f t="shared" si="2"/>
        <v>0.97013505801788091</v>
      </c>
      <c r="P31" s="1">
        <f t="shared" si="2"/>
        <v>1.0521326459556093</v>
      </c>
      <c r="Q31" s="1">
        <f t="shared" si="2"/>
        <v>1.191314423076923</v>
      </c>
      <c r="R31" s="1">
        <f t="shared" si="2"/>
        <v>0.99090604026845641</v>
      </c>
      <c r="S31" s="1">
        <f t="shared" si="2"/>
        <v>33.603514285714283</v>
      </c>
      <c r="T31" s="1">
        <f t="shared" si="2"/>
        <v>0.96911739130434771</v>
      </c>
      <c r="U31" s="1">
        <f t="shared" si="2"/>
        <v>7.7851583333333335E-2</v>
      </c>
      <c r="V31" s="1" t="e">
        <f t="shared" si="2"/>
        <v>#DIV/0!</v>
      </c>
      <c r="W31" s="1" t="e">
        <f t="shared" si="2"/>
        <v>#DIV/0!</v>
      </c>
      <c r="X31" s="1" t="e">
        <f t="shared" si="2"/>
        <v>#DIV/0!</v>
      </c>
      <c r="Y31" s="1">
        <f t="shared" si="2"/>
        <v>2.9466444444444444</v>
      </c>
      <c r="Z31" s="1">
        <f t="shared" si="2"/>
        <v>0.90049122137404569</v>
      </c>
      <c r="AA31" s="1">
        <f t="shared" si="2"/>
        <v>0.91172307692307697</v>
      </c>
      <c r="AB31" s="1">
        <f t="shared" si="2"/>
        <v>1.0833148514851485</v>
      </c>
      <c r="AC31" s="1">
        <f t="shared" si="2"/>
        <v>0.92290322580645168</v>
      </c>
      <c r="AD31" s="1" t="e">
        <f t="shared" si="2"/>
        <v>#DIV/0!</v>
      </c>
      <c r="AE31" s="1" t="e">
        <f t="shared" si="2"/>
        <v>#DIV/0!</v>
      </c>
      <c r="AF31" s="1" t="e">
        <f t="shared" si="2"/>
        <v>#DIV/0!</v>
      </c>
      <c r="AG31" s="1" t="e">
        <f t="shared" si="2"/>
        <v>#DIV/0!</v>
      </c>
      <c r="AI31" s="1" t="e">
        <f t="shared" si="2"/>
        <v>#DIV/0!</v>
      </c>
      <c r="AJ31" s="1" t="e">
        <f t="shared" si="2"/>
        <v>#DIV/0!</v>
      </c>
      <c r="AK31" s="1" t="e">
        <f t="shared" si="2"/>
        <v>#DIV/0!</v>
      </c>
      <c r="AL31" s="1" t="e">
        <f t="shared" si="2"/>
        <v>#DIV/0!</v>
      </c>
      <c r="AM31" s="1" t="e">
        <f t="shared" si="2"/>
        <v>#DIV/0!</v>
      </c>
    </row>
    <row r="32" spans="1:40" x14ac:dyDescent="0.2">
      <c r="A32" s="1" t="s">
        <v>63</v>
      </c>
      <c r="C32" s="1">
        <f>C28/C25</f>
        <v>0.96445678284259428</v>
      </c>
      <c r="D32" s="1">
        <f t="shared" ref="D32:AM32" si="3">D28/D25</f>
        <v>1.4185393258426968</v>
      </c>
      <c r="E32" s="1">
        <f t="shared" si="3"/>
        <v>0.92717702577340388</v>
      </c>
      <c r="F32" s="1">
        <f t="shared" si="3"/>
        <v>1.0238802382873526</v>
      </c>
      <c r="G32" s="1">
        <f t="shared" si="3"/>
        <v>0.95796281325788191</v>
      </c>
      <c r="H32" s="1">
        <f t="shared" si="3"/>
        <v>2.5171026722925455E-2</v>
      </c>
      <c r="I32" s="1">
        <f t="shared" si="3"/>
        <v>0.48849557522123893</v>
      </c>
      <c r="J32" s="1">
        <f t="shared" si="3"/>
        <v>0.90435909535917292</v>
      </c>
      <c r="K32" s="1">
        <f t="shared" si="3"/>
        <v>0.95466090561410688</v>
      </c>
      <c r="L32" s="1">
        <f t="shared" si="3"/>
        <v>0.97496389022628804</v>
      </c>
      <c r="M32" s="1" t="e">
        <f t="shared" si="3"/>
        <v>#DIV/0!</v>
      </c>
      <c r="N32" s="1" t="e">
        <f t="shared" si="3"/>
        <v>#DIV/0!</v>
      </c>
      <c r="O32" s="1">
        <f t="shared" si="3"/>
        <v>0.94691535150645634</v>
      </c>
      <c r="P32" s="1">
        <f t="shared" si="3"/>
        <v>1.0117063338243273</v>
      </c>
      <c r="Q32" s="1" t="e">
        <f t="shared" si="3"/>
        <v>#DIV/0!</v>
      </c>
      <c r="R32" s="1">
        <f t="shared" si="3"/>
        <v>0.12338709677419353</v>
      </c>
      <c r="S32" s="1" t="e">
        <f t="shared" si="3"/>
        <v>#DIV/0!</v>
      </c>
      <c r="T32" s="1">
        <f t="shared" si="3"/>
        <v>0.91035684647302906</v>
      </c>
      <c r="U32" s="1">
        <f t="shared" si="3"/>
        <v>1.0519826086956521</v>
      </c>
      <c r="V32" s="1">
        <f t="shared" si="3"/>
        <v>0.3196515789473684</v>
      </c>
      <c r="W32" s="1">
        <f t="shared" si="3"/>
        <v>0.16428571428571428</v>
      </c>
      <c r="X32" s="1" t="e">
        <f t="shared" si="3"/>
        <v>#DIV/0!</v>
      </c>
      <c r="Y32" s="1">
        <f t="shared" si="3"/>
        <v>0.92174857142857136</v>
      </c>
      <c r="Z32" s="1">
        <f t="shared" si="3"/>
        <v>0.85962616822429916</v>
      </c>
      <c r="AA32" s="1">
        <f t="shared" si="3"/>
        <v>1.1605708609271523</v>
      </c>
      <c r="AB32" s="1">
        <f t="shared" si="3"/>
        <v>0.86908968450903923</v>
      </c>
      <c r="AC32" s="1">
        <f t="shared" si="3"/>
        <v>0.76777169559412561</v>
      </c>
      <c r="AD32" s="1" t="e">
        <f t="shared" si="3"/>
        <v>#DIV/0!</v>
      </c>
      <c r="AE32" s="1" t="e">
        <f t="shared" si="3"/>
        <v>#DIV/0!</v>
      </c>
      <c r="AF32" s="1" t="e">
        <f t="shared" si="3"/>
        <v>#DIV/0!</v>
      </c>
      <c r="AG32" s="1">
        <f t="shared" si="3"/>
        <v>0.93973947895791599</v>
      </c>
      <c r="AI32" s="1" t="e">
        <f t="shared" si="3"/>
        <v>#DIV/0!</v>
      </c>
      <c r="AJ32" s="1">
        <f t="shared" si="3"/>
        <v>0.93851209439528027</v>
      </c>
      <c r="AK32" s="1">
        <f t="shared" si="3"/>
        <v>0.44340558139534875</v>
      </c>
      <c r="AL32" s="1">
        <f t="shared" si="3"/>
        <v>0.86036341463414634</v>
      </c>
      <c r="AM32" s="1" t="e">
        <f t="shared" si="3"/>
        <v>#DIV/0!</v>
      </c>
    </row>
    <row r="34" spans="1:40" x14ac:dyDescent="0.2">
      <c r="A34" s="1" t="s">
        <v>64</v>
      </c>
      <c r="C34" s="1">
        <f>AVERAGE(C31:C32)</f>
        <v>0.87395622880130841</v>
      </c>
      <c r="D34" s="1">
        <f t="shared" ref="D34:AM34" si="4">AVERAGE(D31:D32)</f>
        <v>1.2087523634946784</v>
      </c>
      <c r="E34" s="1">
        <f t="shared" si="4"/>
        <v>0.89849613994442601</v>
      </c>
      <c r="F34" s="1">
        <f t="shared" si="4"/>
        <v>1.0180373488046999</v>
      </c>
      <c r="G34" s="1">
        <f t="shared" si="4"/>
        <v>0.99622278593928582</v>
      </c>
      <c r="H34" s="1">
        <f t="shared" si="4"/>
        <v>0.18726160846122575</v>
      </c>
      <c r="I34" s="1">
        <f t="shared" si="4"/>
        <v>0.47755062384117752</v>
      </c>
      <c r="J34" s="1">
        <f t="shared" si="4"/>
        <v>0.87162960205274165</v>
      </c>
      <c r="K34" s="1">
        <f t="shared" si="4"/>
        <v>0.97075040129445833</v>
      </c>
      <c r="L34" s="1">
        <f t="shared" si="4"/>
        <v>0.96763885580650588</v>
      </c>
      <c r="O34" s="1">
        <f t="shared" si="4"/>
        <v>0.95852520476216863</v>
      </c>
      <c r="P34" s="1">
        <f t="shared" si="4"/>
        <v>1.0319194898899684</v>
      </c>
      <c r="R34" s="1">
        <f t="shared" si="4"/>
        <v>0.55714656852132494</v>
      </c>
      <c r="T34" s="1">
        <f t="shared" si="4"/>
        <v>0.93973711888868838</v>
      </c>
      <c r="U34" s="1">
        <f t="shared" si="4"/>
        <v>0.56491709601449269</v>
      </c>
      <c r="Y34" s="1">
        <f t="shared" si="4"/>
        <v>1.934196507936508</v>
      </c>
      <c r="Z34" s="1">
        <f t="shared" si="4"/>
        <v>0.88005869479917243</v>
      </c>
      <c r="AA34" s="1">
        <f t="shared" si="4"/>
        <v>1.0361469689251146</v>
      </c>
      <c r="AB34" s="1">
        <f t="shared" si="4"/>
        <v>0.97620226799709386</v>
      </c>
      <c r="AC34" s="1">
        <f t="shared" si="4"/>
        <v>0.84533746070028859</v>
      </c>
    </row>
    <row r="36" spans="1:40" x14ac:dyDescent="0.2">
      <c r="A36" s="1" t="s">
        <v>65</v>
      </c>
      <c r="C36" s="1">
        <f>C11*C34</f>
        <v>0.80473889548024469</v>
      </c>
      <c r="D36" s="1">
        <f t="shared" ref="D36:AM36" si="5">D11*D34</f>
        <v>1.5781470857786521</v>
      </c>
      <c r="E36" s="1">
        <f t="shared" si="5"/>
        <v>9.0681621420031124</v>
      </c>
      <c r="F36" s="1">
        <f t="shared" si="5"/>
        <v>51.854546791246435</v>
      </c>
      <c r="G36" s="1">
        <f t="shared" si="5"/>
        <v>0.15013077384105036</v>
      </c>
      <c r="H36" s="1">
        <f t="shared" si="5"/>
        <v>0.22634310614708358</v>
      </c>
      <c r="I36" s="1">
        <f t="shared" si="5"/>
        <v>1.8385699017885334E-2</v>
      </c>
      <c r="J36" s="1">
        <f t="shared" si="5"/>
        <v>1.8644157187908141</v>
      </c>
      <c r="K36" s="1">
        <f t="shared" si="5"/>
        <v>25.316685090558824</v>
      </c>
      <c r="L36" s="1">
        <f t="shared" si="5"/>
        <v>0.87832578941556538</v>
      </c>
      <c r="N36" s="1">
        <f>N11*N31</f>
        <v>1.7166199882766707E-2</v>
      </c>
      <c r="O36" s="1">
        <f t="shared" si="5"/>
        <v>0.17080919148861845</v>
      </c>
      <c r="P36" s="1">
        <f t="shared" si="5"/>
        <v>5.8680101792593051</v>
      </c>
      <c r="R36" s="1">
        <f t="shared" si="5"/>
        <v>6.0171829400303099E-3</v>
      </c>
      <c r="S36" s="1">
        <f>S11*S31</f>
        <v>0.16465721999999999</v>
      </c>
      <c r="T36" s="1">
        <f t="shared" si="5"/>
        <v>1.691526813999639E-2</v>
      </c>
      <c r="V36" s="1">
        <f>V11*V32</f>
        <v>5.0504949473684215E-3</v>
      </c>
      <c r="Y36" s="1">
        <f t="shared" si="5"/>
        <v>1.9922224031746032E-2</v>
      </c>
      <c r="Z36" s="1">
        <f t="shared" si="5"/>
        <v>4.3298887784119285E-2</v>
      </c>
      <c r="AA36" s="1">
        <f t="shared" si="5"/>
        <v>4.0409731788079465E-3</v>
      </c>
      <c r="AB36" s="1">
        <f t="shared" si="5"/>
        <v>8.3074813006552686E-2</v>
      </c>
      <c r="AC36" s="1">
        <f t="shared" si="5"/>
        <v>1.5216074292605194E-3</v>
      </c>
      <c r="AG36" s="1">
        <f>AG11*AG32</f>
        <v>9.3504078156312648E-2</v>
      </c>
      <c r="AH36" s="1">
        <f>AH11</f>
        <v>3.4099999999999998E-2</v>
      </c>
      <c r="AN36" s="1">
        <f t="shared" ref="AN12:AN36" si="6">SUM(C36:AL36)</f>
        <v>98.287969412524518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"/>
  <sheetViews>
    <sheetView workbookViewId="0">
      <selection activeCell="N31" sqref="N31"/>
    </sheetView>
  </sheetViews>
  <sheetFormatPr defaultColWidth="11" defaultRowHeight="15.75" x14ac:dyDescent="0.25"/>
  <cols>
    <col min="2" max="2" width="14.875" bestFit="1" customWidth="1"/>
  </cols>
  <sheetData>
    <row r="1" spans="1:23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</row>
    <row r="2" spans="1:23" x14ac:dyDescent="0.25">
      <c r="C2" t="s">
        <v>21</v>
      </c>
      <c r="D2" t="s">
        <v>21</v>
      </c>
      <c r="E2" t="s">
        <v>21</v>
      </c>
      <c r="F2" t="s">
        <v>21</v>
      </c>
      <c r="G2" t="s">
        <v>21</v>
      </c>
      <c r="H2" t="s">
        <v>21</v>
      </c>
      <c r="I2" t="s">
        <v>21</v>
      </c>
      <c r="J2" t="s">
        <v>21</v>
      </c>
      <c r="K2" t="s">
        <v>21</v>
      </c>
      <c r="L2" t="s">
        <v>21</v>
      </c>
      <c r="M2" t="s">
        <v>21</v>
      </c>
      <c r="N2" t="s">
        <v>21</v>
      </c>
      <c r="O2" t="s">
        <v>21</v>
      </c>
      <c r="P2" t="s">
        <v>21</v>
      </c>
      <c r="Q2" t="s">
        <v>21</v>
      </c>
      <c r="R2" t="s">
        <v>21</v>
      </c>
      <c r="S2" t="s">
        <v>21</v>
      </c>
      <c r="T2" t="s">
        <v>21</v>
      </c>
      <c r="U2" t="s">
        <v>21</v>
      </c>
      <c r="V2" t="s">
        <v>21</v>
      </c>
    </row>
    <row r="3" spans="1:23" x14ac:dyDescent="0.25">
      <c r="A3" t="s">
        <v>22</v>
      </c>
      <c r="B3" t="s">
        <v>23</v>
      </c>
      <c r="C3">
        <v>0.92900000000000005</v>
      </c>
      <c r="D3">
        <v>13.57</v>
      </c>
      <c r="E3">
        <v>9.7378999999999998</v>
      </c>
      <c r="F3">
        <v>38.674399999999999</v>
      </c>
      <c r="G3">
        <v>7.9600000000000004E-2</v>
      </c>
      <c r="H3">
        <v>0.4345</v>
      </c>
      <c r="I3">
        <v>3.8600000000000002E-2</v>
      </c>
      <c r="J3">
        <v>0.21240000000000001</v>
      </c>
      <c r="K3">
        <v>14.9657</v>
      </c>
      <c r="L3">
        <v>3.9133</v>
      </c>
      <c r="M3">
        <v>7.3899999999999993E-2</v>
      </c>
      <c r="N3">
        <v>0.1734</v>
      </c>
      <c r="O3">
        <v>17.0733</v>
      </c>
      <c r="P3">
        <v>9.7999999999999997E-3</v>
      </c>
      <c r="Q3">
        <v>2.4199999999999999E-2</v>
      </c>
      <c r="R3">
        <v>1.6299999999999999E-2</v>
      </c>
      <c r="S3">
        <v>2.3099999999999999E-2</v>
      </c>
      <c r="T3">
        <v>1.8E-3</v>
      </c>
      <c r="U3">
        <v>3.4700000000000002E-2</v>
      </c>
      <c r="V3">
        <v>1.44E-2</v>
      </c>
      <c r="W3">
        <v>0.25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selection activeCell="C1" sqref="C1:Y3"/>
    </sheetView>
  </sheetViews>
  <sheetFormatPr defaultColWidth="11" defaultRowHeight="15.75" x14ac:dyDescent="0.25"/>
  <cols>
    <col min="2" max="2" width="14.875" bestFit="1" customWidth="1"/>
  </cols>
  <sheetData>
    <row r="1" spans="1:26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11</v>
      </c>
      <c r="N1" t="s">
        <v>12</v>
      </c>
      <c r="O1" t="s">
        <v>14</v>
      </c>
      <c r="P1" t="s">
        <v>16</v>
      </c>
      <c r="Q1" t="s">
        <v>31</v>
      </c>
      <c r="R1" t="s">
        <v>30</v>
      </c>
      <c r="S1" t="s">
        <v>17</v>
      </c>
      <c r="T1" t="s">
        <v>18</v>
      </c>
      <c r="U1" t="s">
        <v>29</v>
      </c>
      <c r="V1" t="s">
        <v>19</v>
      </c>
      <c r="W1" t="s">
        <v>28</v>
      </c>
      <c r="X1" t="s">
        <v>27</v>
      </c>
      <c r="Y1" t="s">
        <v>26</v>
      </c>
      <c r="Z1" t="s">
        <v>20</v>
      </c>
    </row>
    <row r="2" spans="1:26" x14ac:dyDescent="0.25">
      <c r="C2" t="s">
        <v>21</v>
      </c>
      <c r="D2" t="s">
        <v>21</v>
      </c>
      <c r="E2" t="s">
        <v>21</v>
      </c>
      <c r="F2" t="s">
        <v>21</v>
      </c>
      <c r="G2" t="s">
        <v>21</v>
      </c>
      <c r="H2" t="s">
        <v>21</v>
      </c>
      <c r="I2" t="s">
        <v>21</v>
      </c>
      <c r="J2" t="s">
        <v>21</v>
      </c>
      <c r="K2" t="s">
        <v>21</v>
      </c>
      <c r="L2" t="s">
        <v>21</v>
      </c>
      <c r="M2" t="s">
        <v>21</v>
      </c>
      <c r="N2" t="s">
        <v>21</v>
      </c>
      <c r="O2" t="s">
        <v>21</v>
      </c>
      <c r="P2" t="s">
        <v>21</v>
      </c>
      <c r="Q2" t="s">
        <v>21</v>
      </c>
      <c r="R2" t="s">
        <v>21</v>
      </c>
      <c r="S2" t="s">
        <v>21</v>
      </c>
      <c r="T2" t="s">
        <v>21</v>
      </c>
      <c r="U2" t="s">
        <v>21</v>
      </c>
      <c r="V2" t="s">
        <v>21</v>
      </c>
      <c r="W2" t="s">
        <v>21</v>
      </c>
      <c r="X2" t="s">
        <v>21</v>
      </c>
      <c r="Y2" t="s">
        <v>21</v>
      </c>
    </row>
    <row r="3" spans="1:26" x14ac:dyDescent="0.25">
      <c r="A3" t="s">
        <v>25</v>
      </c>
      <c r="B3" t="s">
        <v>24</v>
      </c>
      <c r="C3">
        <v>9.2698999999999998</v>
      </c>
      <c r="D3">
        <v>6.9099999999999995E-2</v>
      </c>
      <c r="E3">
        <v>19.8005</v>
      </c>
      <c r="F3">
        <v>58.369</v>
      </c>
      <c r="G3">
        <v>0.1661</v>
      </c>
      <c r="H3">
        <v>0.43430000000000002</v>
      </c>
      <c r="I3">
        <v>9.1899999999999996E-2</v>
      </c>
      <c r="J3">
        <v>4.7057000000000002</v>
      </c>
      <c r="K3">
        <v>1.1202000000000001</v>
      </c>
      <c r="L3">
        <v>0.13900000000000001</v>
      </c>
      <c r="M3">
        <v>0.23699999999999999</v>
      </c>
      <c r="N3">
        <v>5.1364000000000001</v>
      </c>
      <c r="O3">
        <v>3.0999999999999999E-3</v>
      </c>
      <c r="P3">
        <v>3.2399999999999998E-2</v>
      </c>
      <c r="Q3">
        <v>4.3E-3</v>
      </c>
      <c r="R3">
        <v>1.9E-3</v>
      </c>
      <c r="S3">
        <v>1.3899999999999999E-2</v>
      </c>
      <c r="T3">
        <v>9.6199999999999994E-2</v>
      </c>
      <c r="U3">
        <v>5.5999999999999999E-3</v>
      </c>
      <c r="V3">
        <v>0.19500000000000001</v>
      </c>
      <c r="W3">
        <v>5.0999999999999997E-2</v>
      </c>
      <c r="X3">
        <v>5.45E-2</v>
      </c>
      <c r="Y3">
        <v>2.8999999999999998E-3</v>
      </c>
      <c r="Z3">
        <v>0.25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"/>
  <sheetViews>
    <sheetView workbookViewId="0">
      <selection activeCell="Z1" sqref="C1:Z3"/>
    </sheetView>
  </sheetViews>
  <sheetFormatPr defaultColWidth="11" defaultRowHeight="15.75" x14ac:dyDescent="0.25"/>
  <sheetData>
    <row r="1" spans="1:27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14</v>
      </c>
      <c r="Q1" t="s">
        <v>15</v>
      </c>
      <c r="R1" t="s">
        <v>16</v>
      </c>
      <c r="S1" t="s">
        <v>30</v>
      </c>
      <c r="T1" t="s">
        <v>17</v>
      </c>
      <c r="U1" t="s">
        <v>18</v>
      </c>
      <c r="V1" t="s">
        <v>29</v>
      </c>
      <c r="W1" t="s">
        <v>19</v>
      </c>
      <c r="X1" t="s">
        <v>28</v>
      </c>
      <c r="Y1" t="s">
        <v>27</v>
      </c>
      <c r="Z1" t="s">
        <v>33</v>
      </c>
      <c r="AA1" t="s">
        <v>20</v>
      </c>
    </row>
    <row r="2" spans="1:27" x14ac:dyDescent="0.25">
      <c r="C2" t="s">
        <v>21</v>
      </c>
      <c r="D2" t="s">
        <v>21</v>
      </c>
      <c r="E2" t="s">
        <v>21</v>
      </c>
      <c r="F2" t="s">
        <v>21</v>
      </c>
      <c r="G2" t="s">
        <v>21</v>
      </c>
      <c r="H2" t="s">
        <v>21</v>
      </c>
      <c r="I2" t="s">
        <v>21</v>
      </c>
      <c r="J2" t="s">
        <v>21</v>
      </c>
      <c r="K2" t="s">
        <v>21</v>
      </c>
      <c r="L2" t="s">
        <v>21</v>
      </c>
      <c r="M2" t="s">
        <v>21</v>
      </c>
      <c r="N2" t="s">
        <v>21</v>
      </c>
      <c r="O2" t="s">
        <v>21</v>
      </c>
      <c r="P2" t="s">
        <v>21</v>
      </c>
      <c r="Q2" t="s">
        <v>21</v>
      </c>
      <c r="R2" t="s">
        <v>21</v>
      </c>
      <c r="S2" t="s">
        <v>21</v>
      </c>
      <c r="T2" t="s">
        <v>21</v>
      </c>
      <c r="U2" t="s">
        <v>21</v>
      </c>
      <c r="V2" t="s">
        <v>21</v>
      </c>
      <c r="W2" t="s">
        <v>21</v>
      </c>
      <c r="X2" t="s">
        <v>21</v>
      </c>
      <c r="Y2" t="s">
        <v>21</v>
      </c>
      <c r="Z2" t="s">
        <v>21</v>
      </c>
    </row>
    <row r="3" spans="1:27" x14ac:dyDescent="0.25">
      <c r="A3">
        <v>214201</v>
      </c>
      <c r="B3" t="s">
        <v>32</v>
      </c>
      <c r="C3">
        <v>0.92079999999999995</v>
      </c>
      <c r="D3">
        <v>1.3056000000000001</v>
      </c>
      <c r="E3">
        <v>10.092599999999999</v>
      </c>
      <c r="F3">
        <v>50.9358</v>
      </c>
      <c r="G3">
        <v>0.1507</v>
      </c>
      <c r="H3">
        <v>1.2087000000000001</v>
      </c>
      <c r="I3">
        <v>3.85E-2</v>
      </c>
      <c r="J3">
        <v>2.1389999999999998</v>
      </c>
      <c r="K3">
        <v>26.079499999999999</v>
      </c>
      <c r="L3">
        <v>0.90769999999999995</v>
      </c>
      <c r="M3">
        <v>2.3300000000000001E-2</v>
      </c>
      <c r="N3">
        <v>0.1782</v>
      </c>
      <c r="O3">
        <v>5.6864999999999997</v>
      </c>
      <c r="P3">
        <v>1.0800000000000001E-2</v>
      </c>
      <c r="Q3">
        <v>4.8999999999999998E-3</v>
      </c>
      <c r="R3">
        <v>1.7999999999999999E-2</v>
      </c>
      <c r="S3">
        <v>1.5800000000000002E-2</v>
      </c>
      <c r="T3">
        <v>1.03E-2</v>
      </c>
      <c r="U3">
        <v>4.9200000000000001E-2</v>
      </c>
      <c r="V3">
        <v>3.8999999999999998E-3</v>
      </c>
      <c r="W3">
        <v>8.5099999999999995E-2</v>
      </c>
      <c r="X3">
        <v>1.8E-3</v>
      </c>
      <c r="Y3">
        <v>9.9500000000000005E-2</v>
      </c>
      <c r="Z3">
        <v>3.4099999999999998E-2</v>
      </c>
      <c r="AA3">
        <v>0.25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"/>
  <sheetViews>
    <sheetView workbookViewId="0">
      <selection activeCell="C1" sqref="C1:W3"/>
    </sheetView>
  </sheetViews>
  <sheetFormatPr defaultColWidth="11" defaultRowHeight="15.75" x14ac:dyDescent="0.25"/>
  <sheetData>
    <row r="1" spans="1:24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18</v>
      </c>
      <c r="U1" t="s">
        <v>29</v>
      </c>
      <c r="V1" t="s">
        <v>19</v>
      </c>
      <c r="W1" t="s">
        <v>28</v>
      </c>
      <c r="X1" t="s">
        <v>20</v>
      </c>
    </row>
    <row r="2" spans="1:24" x14ac:dyDescent="0.25">
      <c r="C2" t="s">
        <v>21</v>
      </c>
      <c r="D2" t="s">
        <v>21</v>
      </c>
      <c r="E2" t="s">
        <v>21</v>
      </c>
      <c r="F2" t="s">
        <v>21</v>
      </c>
      <c r="G2" t="s">
        <v>21</v>
      </c>
      <c r="H2" t="s">
        <v>21</v>
      </c>
      <c r="I2" t="s">
        <v>21</v>
      </c>
      <c r="J2" t="s">
        <v>21</v>
      </c>
      <c r="K2" t="s">
        <v>21</v>
      </c>
      <c r="L2" t="s">
        <v>21</v>
      </c>
      <c r="M2" t="s">
        <v>21</v>
      </c>
      <c r="N2" t="s">
        <v>21</v>
      </c>
      <c r="O2" t="s">
        <v>21</v>
      </c>
      <c r="P2" t="s">
        <v>21</v>
      </c>
      <c r="Q2" t="s">
        <v>21</v>
      </c>
      <c r="R2" t="s">
        <v>21</v>
      </c>
      <c r="S2" t="s">
        <v>21</v>
      </c>
      <c r="T2" t="s">
        <v>21</v>
      </c>
      <c r="U2" t="s">
        <v>21</v>
      </c>
      <c r="V2" t="s">
        <v>21</v>
      </c>
      <c r="W2" t="s">
        <v>21</v>
      </c>
    </row>
    <row r="3" spans="1:24" x14ac:dyDescent="0.25">
      <c r="A3" t="s">
        <v>22</v>
      </c>
      <c r="B3" t="s">
        <v>34</v>
      </c>
      <c r="C3">
        <v>0.92859999999999998</v>
      </c>
      <c r="D3">
        <v>13.556699999999999</v>
      </c>
      <c r="E3">
        <v>9.7108000000000008</v>
      </c>
      <c r="F3">
        <v>38.677399999999999</v>
      </c>
      <c r="G3">
        <v>7.7399999999999997E-2</v>
      </c>
      <c r="H3">
        <v>0.43390000000000001</v>
      </c>
      <c r="I3">
        <v>3.5999999999999997E-2</v>
      </c>
      <c r="J3">
        <v>0.2127</v>
      </c>
      <c r="K3">
        <v>14.933199999999999</v>
      </c>
      <c r="L3">
        <v>3.92</v>
      </c>
      <c r="M3">
        <v>7.6100000000000001E-2</v>
      </c>
      <c r="N3">
        <v>0.1774</v>
      </c>
      <c r="O3">
        <v>17.1282</v>
      </c>
      <c r="P3">
        <v>1.32E-2</v>
      </c>
      <c r="Q3">
        <v>2.5499999999999998E-2</v>
      </c>
      <c r="R3">
        <v>1.5299999999999999E-2</v>
      </c>
      <c r="S3">
        <v>2.53E-2</v>
      </c>
      <c r="T3">
        <v>3.4599999999999999E-2</v>
      </c>
      <c r="U3">
        <v>2.3999999999999998E-3</v>
      </c>
      <c r="V3">
        <v>1.17E-2</v>
      </c>
      <c r="W3">
        <v>3.5999999999999999E-3</v>
      </c>
      <c r="X3">
        <v>0.25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selection activeCell="C1" sqref="C1:Y3"/>
    </sheetView>
  </sheetViews>
  <sheetFormatPr defaultColWidth="11" defaultRowHeight="15.75" x14ac:dyDescent="0.25"/>
  <sheetData>
    <row r="1" spans="1:26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11</v>
      </c>
      <c r="N1" t="s">
        <v>12</v>
      </c>
      <c r="O1" t="s">
        <v>16</v>
      </c>
      <c r="P1" t="s">
        <v>31</v>
      </c>
      <c r="Q1" t="s">
        <v>17</v>
      </c>
      <c r="R1" t="s">
        <v>18</v>
      </c>
      <c r="S1" t="s">
        <v>29</v>
      </c>
      <c r="T1" t="s">
        <v>19</v>
      </c>
      <c r="U1" t="s">
        <v>28</v>
      </c>
      <c r="V1" t="s">
        <v>27</v>
      </c>
      <c r="W1" t="s">
        <v>37</v>
      </c>
      <c r="X1" t="s">
        <v>36</v>
      </c>
      <c r="Y1" t="s">
        <v>26</v>
      </c>
      <c r="Z1" t="s">
        <v>20</v>
      </c>
    </row>
    <row r="2" spans="1:26" x14ac:dyDescent="0.25">
      <c r="C2" t="s">
        <v>21</v>
      </c>
      <c r="D2" t="s">
        <v>21</v>
      </c>
      <c r="E2" t="s">
        <v>21</v>
      </c>
      <c r="F2" t="s">
        <v>21</v>
      </c>
      <c r="G2" t="s">
        <v>21</v>
      </c>
      <c r="H2" t="s">
        <v>21</v>
      </c>
      <c r="I2" t="s">
        <v>21</v>
      </c>
      <c r="J2" t="s">
        <v>21</v>
      </c>
      <c r="K2" t="s">
        <v>21</v>
      </c>
      <c r="L2" t="s">
        <v>21</v>
      </c>
      <c r="M2" t="s">
        <v>21</v>
      </c>
      <c r="N2" t="s">
        <v>21</v>
      </c>
      <c r="O2" t="s">
        <v>21</v>
      </c>
      <c r="P2" t="s">
        <v>21</v>
      </c>
      <c r="Q2" t="s">
        <v>21</v>
      </c>
      <c r="R2" t="s">
        <v>21</v>
      </c>
      <c r="S2" t="s">
        <v>21</v>
      </c>
      <c r="T2" t="s">
        <v>21</v>
      </c>
      <c r="U2" t="s">
        <v>21</v>
      </c>
      <c r="V2" t="s">
        <v>21</v>
      </c>
      <c r="W2" t="s">
        <v>21</v>
      </c>
      <c r="X2" t="s">
        <v>21</v>
      </c>
      <c r="Y2" t="s">
        <v>21</v>
      </c>
    </row>
    <row r="3" spans="1:26" x14ac:dyDescent="0.25">
      <c r="A3" t="s">
        <v>25</v>
      </c>
      <c r="B3" t="s">
        <v>35</v>
      </c>
      <c r="C3">
        <v>9.3283000000000005</v>
      </c>
      <c r="D3">
        <v>7.1400000000000005E-2</v>
      </c>
      <c r="E3">
        <v>19.875399999999999</v>
      </c>
      <c r="F3">
        <v>58.1419</v>
      </c>
      <c r="G3">
        <v>0.16600000000000001</v>
      </c>
      <c r="H3">
        <v>0.41970000000000002</v>
      </c>
      <c r="I3">
        <v>9.5100000000000004E-2</v>
      </c>
      <c r="J3">
        <v>4.7169999999999996</v>
      </c>
      <c r="K3">
        <v>1.1496</v>
      </c>
      <c r="L3">
        <v>0.14330000000000001</v>
      </c>
      <c r="M3">
        <v>0.23749999999999999</v>
      </c>
      <c r="N3">
        <v>5.1474000000000002</v>
      </c>
      <c r="O3">
        <v>3.2399999999999998E-2</v>
      </c>
      <c r="P3">
        <v>4.1999999999999997E-3</v>
      </c>
      <c r="Q3">
        <v>1.4500000000000001E-2</v>
      </c>
      <c r="R3">
        <v>9.6600000000000005E-2</v>
      </c>
      <c r="S3">
        <v>4.8999999999999998E-3</v>
      </c>
      <c r="T3">
        <v>0.18659999999999999</v>
      </c>
      <c r="U3">
        <v>4.8800000000000003E-2</v>
      </c>
      <c r="V3">
        <v>7.1300000000000002E-2</v>
      </c>
      <c r="W3">
        <v>3.8699999999999998E-2</v>
      </c>
      <c r="X3">
        <v>4.3E-3</v>
      </c>
      <c r="Y3">
        <v>5.3E-3</v>
      </c>
      <c r="Z3">
        <v>0.25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"/>
  <sheetViews>
    <sheetView workbookViewId="0">
      <selection activeCell="C1" sqref="C1:Y3"/>
    </sheetView>
  </sheetViews>
  <sheetFormatPr defaultColWidth="11" defaultRowHeight="15.75" x14ac:dyDescent="0.25"/>
  <sheetData>
    <row r="1" spans="1:26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39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31</v>
      </c>
      <c r="V1" t="s">
        <v>18</v>
      </c>
      <c r="W1" t="s">
        <v>29</v>
      </c>
      <c r="X1" t="s">
        <v>19</v>
      </c>
      <c r="Y1" t="s">
        <v>28</v>
      </c>
      <c r="Z1" t="s">
        <v>20</v>
      </c>
    </row>
    <row r="2" spans="1:26" x14ac:dyDescent="0.25">
      <c r="C2" t="s">
        <v>21</v>
      </c>
      <c r="D2" t="s">
        <v>21</v>
      </c>
      <c r="E2" t="s">
        <v>21</v>
      </c>
      <c r="F2" t="s">
        <v>21</v>
      </c>
      <c r="G2" t="s">
        <v>21</v>
      </c>
      <c r="H2" t="s">
        <v>21</v>
      </c>
      <c r="I2" t="s">
        <v>21</v>
      </c>
      <c r="J2" t="s">
        <v>21</v>
      </c>
      <c r="K2" t="s">
        <v>21</v>
      </c>
      <c r="L2" t="s">
        <v>21</v>
      </c>
      <c r="M2" t="s">
        <v>21</v>
      </c>
      <c r="N2" t="s">
        <v>21</v>
      </c>
      <c r="O2" t="s">
        <v>21</v>
      </c>
      <c r="P2" t="s">
        <v>21</v>
      </c>
      <c r="Q2" t="s">
        <v>21</v>
      </c>
      <c r="R2" t="s">
        <v>21</v>
      </c>
      <c r="S2" t="s">
        <v>21</v>
      </c>
      <c r="T2" t="s">
        <v>21</v>
      </c>
      <c r="U2" t="s">
        <v>21</v>
      </c>
      <c r="V2" t="s">
        <v>21</v>
      </c>
      <c r="W2" t="s">
        <v>21</v>
      </c>
      <c r="X2" t="s">
        <v>21</v>
      </c>
      <c r="Y2" t="s">
        <v>21</v>
      </c>
    </row>
    <row r="3" spans="1:26" x14ac:dyDescent="0.25">
      <c r="A3" t="s">
        <v>22</v>
      </c>
      <c r="B3" t="s">
        <v>38</v>
      </c>
      <c r="C3">
        <v>0.97599999999999998</v>
      </c>
      <c r="D3">
        <v>13.5654</v>
      </c>
      <c r="E3">
        <v>9.7644000000000002</v>
      </c>
      <c r="F3">
        <v>38.594299999999997</v>
      </c>
      <c r="G3">
        <v>7.4999999999999997E-2</v>
      </c>
      <c r="H3">
        <v>0.43969999999999998</v>
      </c>
      <c r="I3">
        <v>3.4700000000000002E-2</v>
      </c>
      <c r="J3">
        <v>0.21859999999999999</v>
      </c>
      <c r="K3">
        <v>14.789199999999999</v>
      </c>
      <c r="L3">
        <v>3.9441000000000002</v>
      </c>
      <c r="M3">
        <v>0.1231</v>
      </c>
      <c r="N3">
        <v>0.10589999999999999</v>
      </c>
      <c r="O3">
        <v>0.1749</v>
      </c>
      <c r="P3">
        <v>17.065799999999999</v>
      </c>
      <c r="Q3">
        <v>8.2000000000000007E-3</v>
      </c>
      <c r="R3">
        <v>2.4799999999999999E-2</v>
      </c>
      <c r="S3">
        <v>1.46E-2</v>
      </c>
      <c r="T3">
        <v>2.52E-2</v>
      </c>
      <c r="U3">
        <v>2.3999999999999998E-3</v>
      </c>
      <c r="V3">
        <v>3.5499999999999997E-2</v>
      </c>
      <c r="W3">
        <v>1.5E-3</v>
      </c>
      <c r="X3">
        <v>1.43E-2</v>
      </c>
      <c r="Y3">
        <v>2.5999999999999999E-3</v>
      </c>
      <c r="Z3">
        <v>0.25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workbookViewId="0">
      <selection activeCell="C1" sqref="C1:X3"/>
    </sheetView>
  </sheetViews>
  <sheetFormatPr defaultColWidth="11" defaultRowHeight="15.75" x14ac:dyDescent="0.25"/>
  <sheetData>
    <row r="1" spans="1:25" x14ac:dyDescent="0.25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11</v>
      </c>
      <c r="N1" t="s">
        <v>12</v>
      </c>
      <c r="O1" t="s">
        <v>16</v>
      </c>
      <c r="P1" t="s">
        <v>31</v>
      </c>
      <c r="Q1" t="s">
        <v>41</v>
      </c>
      <c r="R1" t="s">
        <v>17</v>
      </c>
      <c r="S1" t="s">
        <v>18</v>
      </c>
      <c r="T1" t="s">
        <v>29</v>
      </c>
      <c r="U1" t="s">
        <v>19</v>
      </c>
      <c r="V1" t="s">
        <v>28</v>
      </c>
      <c r="W1" t="s">
        <v>27</v>
      </c>
      <c r="X1" t="s">
        <v>37</v>
      </c>
      <c r="Y1" t="s">
        <v>20</v>
      </c>
    </row>
    <row r="2" spans="1:25" x14ac:dyDescent="0.25">
      <c r="C2" t="s">
        <v>21</v>
      </c>
      <c r="D2" t="s">
        <v>21</v>
      </c>
      <c r="E2" t="s">
        <v>21</v>
      </c>
      <c r="F2" t="s">
        <v>21</v>
      </c>
      <c r="G2" t="s">
        <v>21</v>
      </c>
      <c r="H2" t="s">
        <v>21</v>
      </c>
      <c r="I2" t="s">
        <v>21</v>
      </c>
      <c r="J2" t="s">
        <v>21</v>
      </c>
      <c r="K2" t="s">
        <v>21</v>
      </c>
      <c r="L2" t="s">
        <v>21</v>
      </c>
      <c r="M2" t="s">
        <v>21</v>
      </c>
      <c r="N2" t="s">
        <v>21</v>
      </c>
      <c r="O2" t="s">
        <v>21</v>
      </c>
      <c r="P2" t="s">
        <v>21</v>
      </c>
      <c r="Q2" t="s">
        <v>21</v>
      </c>
      <c r="R2" t="s">
        <v>21</v>
      </c>
      <c r="S2" t="s">
        <v>21</v>
      </c>
      <c r="T2" t="s">
        <v>21</v>
      </c>
      <c r="U2" t="s">
        <v>21</v>
      </c>
      <c r="V2" t="s">
        <v>21</v>
      </c>
      <c r="W2" t="s">
        <v>21</v>
      </c>
      <c r="X2" t="s">
        <v>21</v>
      </c>
    </row>
    <row r="3" spans="1:25" x14ac:dyDescent="0.25">
      <c r="A3" t="s">
        <v>25</v>
      </c>
      <c r="B3" t="s">
        <v>40</v>
      </c>
      <c r="C3">
        <v>9.2102000000000004</v>
      </c>
      <c r="D3">
        <v>7.3099999999999998E-2</v>
      </c>
      <c r="E3">
        <v>19.827300000000001</v>
      </c>
      <c r="F3">
        <v>58.2361</v>
      </c>
      <c r="G3">
        <v>0.16270000000000001</v>
      </c>
      <c r="H3">
        <v>0.42580000000000001</v>
      </c>
      <c r="I3">
        <v>9.5500000000000002E-2</v>
      </c>
      <c r="J3">
        <v>4.7751999999999999</v>
      </c>
      <c r="K3">
        <v>1.1555</v>
      </c>
      <c r="L3">
        <v>0.1331</v>
      </c>
      <c r="M3">
        <v>0.2225</v>
      </c>
      <c r="N3">
        <v>5.1950000000000003</v>
      </c>
      <c r="O3">
        <v>3.1600000000000003E-2</v>
      </c>
      <c r="P3">
        <v>5.3E-3</v>
      </c>
      <c r="Q3">
        <v>1.4E-3</v>
      </c>
      <c r="R3">
        <v>1.3599999999999999E-2</v>
      </c>
      <c r="S3">
        <v>9.6100000000000005E-2</v>
      </c>
      <c r="T3">
        <v>4.5999999999999999E-3</v>
      </c>
      <c r="U3">
        <v>0.18260000000000001</v>
      </c>
      <c r="V3">
        <v>0.05</v>
      </c>
      <c r="W3">
        <v>7.3800000000000004E-2</v>
      </c>
      <c r="X3">
        <v>2.9100000000000001E-2</v>
      </c>
      <c r="Y3">
        <v>0.25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Overview</vt:lpstr>
      <vt:lpstr>1</vt:lpstr>
      <vt:lpstr>2</vt:lpstr>
      <vt:lpstr>3</vt:lpstr>
      <vt:lpstr>4</vt:lpstr>
      <vt:lpstr>5</vt:lpstr>
      <vt:lpstr>6</vt:lpstr>
      <vt:lpstr>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Alexander Hately</cp:lastModifiedBy>
  <dcterms:created xsi:type="dcterms:W3CDTF">2021-10-13T09:25:13Z</dcterms:created>
  <dcterms:modified xsi:type="dcterms:W3CDTF">2021-10-15T15:25:49Z</dcterms:modified>
</cp:coreProperties>
</file>